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1807003\Pictures\"/>
    </mc:Choice>
  </mc:AlternateContent>
  <bookViews>
    <workbookView xWindow="720" yWindow="360" windowWidth="17960" windowHeight="11020" tabRatio="653" activeTab="1"/>
  </bookViews>
  <sheets>
    <sheet name="паспорт" sheetId="4" r:id="rId1"/>
    <sheet name="график анн" sheetId="2" r:id="rId2"/>
    <sheet name="паспорт повышенная %" sheetId="5" state="hidden" r:id="rId3"/>
    <sheet name="график с повышеной%" sheetId="7" state="hidden" r:id="rId4"/>
    <sheet name="дод 1 до дог кредит" sheetId="3" r:id="rId5"/>
    <sheet name="Лист1" sheetId="8" state="hidden" r:id="rId6"/>
  </sheets>
  <calcPr calcId="152511"/>
</workbook>
</file>

<file path=xl/calcChain.xml><?xml version="1.0" encoding="utf-8"?>
<calcChain xmlns="http://schemas.openxmlformats.org/spreadsheetml/2006/main">
  <c r="E20" i="7" l="1"/>
  <c r="H35" i="7" s="1"/>
  <c r="H35" i="2" l="1"/>
  <c r="E20" i="2"/>
  <c r="AF11" i="7" l="1"/>
  <c r="AF10" i="7"/>
  <c r="AF9" i="7"/>
  <c r="AF12" i="7" s="1"/>
  <c r="P18" i="7" s="1"/>
  <c r="AF8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AF11" i="2"/>
  <c r="AF10" i="2"/>
  <c r="AF9" i="2"/>
  <c r="AF8" i="2"/>
  <c r="AF12" i="2" l="1"/>
  <c r="P18" i="2" s="1"/>
  <c r="R18" i="2" s="1"/>
  <c r="Q9" i="3" s="1"/>
  <c r="Q125" i="3" s="1"/>
  <c r="D5" i="4"/>
  <c r="B4" i="5" s="1"/>
  <c r="D68" i="4"/>
  <c r="D69" i="4" s="1"/>
  <c r="B8" i="4"/>
  <c r="B7" i="5" s="1"/>
  <c r="B68" i="4" l="1"/>
  <c r="A68" i="4"/>
  <c r="A67" i="5" s="1"/>
  <c r="B67" i="5" l="1"/>
  <c r="E22" i="5"/>
  <c r="B22" i="5" s="1"/>
  <c r="E23" i="4" l="1"/>
  <c r="B23" i="4" s="1"/>
  <c r="P8" i="2" l="1"/>
  <c r="Q15" i="2"/>
  <c r="Q14" i="2"/>
  <c r="P11" i="2"/>
  <c r="D53" i="4" l="1"/>
  <c r="E53" i="4" s="1"/>
  <c r="B53" i="4" s="1"/>
  <c r="K158" i="3"/>
  <c r="J158" i="3"/>
  <c r="K157" i="3"/>
  <c r="J157" i="3"/>
  <c r="K156" i="3"/>
  <c r="J156" i="3"/>
  <c r="J148" i="3"/>
  <c r="O149" i="3"/>
  <c r="N149" i="3"/>
  <c r="M149" i="3"/>
  <c r="O148" i="3"/>
  <c r="N148" i="3"/>
  <c r="M148" i="3"/>
  <c r="O147" i="3"/>
  <c r="N147" i="3"/>
  <c r="M147" i="3"/>
  <c r="O146" i="3"/>
  <c r="N146" i="3"/>
  <c r="M146" i="3"/>
  <c r="K155" i="3"/>
  <c r="J155" i="3"/>
  <c r="K154" i="3"/>
  <c r="J154" i="3"/>
  <c r="K153" i="3"/>
  <c r="J153" i="3"/>
  <c r="K152" i="3"/>
  <c r="J152" i="3"/>
  <c r="K151" i="3"/>
  <c r="J151" i="3"/>
  <c r="L149" i="3"/>
  <c r="K149" i="3"/>
  <c r="J149" i="3"/>
  <c r="L148" i="3"/>
  <c r="K148" i="3"/>
  <c r="L147" i="3"/>
  <c r="K147" i="3"/>
  <c r="J147" i="3"/>
  <c r="L146" i="3"/>
  <c r="K146" i="3"/>
  <c r="J146" i="3"/>
  <c r="O33" i="3"/>
  <c r="N33" i="3"/>
  <c r="M33" i="3"/>
  <c r="L33" i="3"/>
  <c r="O32" i="3"/>
  <c r="N32" i="3"/>
  <c r="M32" i="3"/>
  <c r="L32" i="3"/>
  <c r="O31" i="3"/>
  <c r="N31" i="3"/>
  <c r="M31" i="3"/>
  <c r="L31" i="3"/>
  <c r="K33" i="3"/>
  <c r="J33" i="3"/>
  <c r="I33" i="3"/>
  <c r="H33" i="3"/>
  <c r="K32" i="3"/>
  <c r="J32" i="3"/>
  <c r="I32" i="3"/>
  <c r="H32" i="3"/>
  <c r="K31" i="3"/>
  <c r="J31" i="3"/>
  <c r="I31" i="3"/>
  <c r="H31" i="3"/>
  <c r="O30" i="3"/>
  <c r="N30" i="3"/>
  <c r="M30" i="3"/>
  <c r="L30" i="3"/>
  <c r="K30" i="3"/>
  <c r="J30" i="3"/>
  <c r="H30" i="3"/>
  <c r="R13" i="7"/>
  <c r="R12" i="7"/>
  <c r="I34" i="7" s="1"/>
  <c r="R17" i="7"/>
  <c r="R16" i="7"/>
  <c r="J34" i="7"/>
  <c r="R17" i="2"/>
  <c r="O34" i="2" s="1"/>
  <c r="R16" i="2"/>
  <c r="R13" i="2"/>
  <c r="J34" i="2" s="1"/>
  <c r="R12" i="2"/>
  <c r="R9" i="2"/>
  <c r="R15" i="2"/>
  <c r="R14" i="2"/>
  <c r="R11" i="2"/>
  <c r="N34" i="2" s="1"/>
  <c r="J29" i="3" s="1"/>
  <c r="Q7" i="3" s="1"/>
  <c r="O34" i="7" l="1"/>
  <c r="O95" i="7" s="1"/>
  <c r="K29" i="3"/>
  <c r="M145" i="3"/>
  <c r="D51" i="5"/>
  <c r="L145" i="3"/>
  <c r="D50" i="5"/>
  <c r="M29" i="3"/>
  <c r="D52" i="4"/>
  <c r="L34" i="7"/>
  <c r="L34" i="2"/>
  <c r="I34" i="2"/>
  <c r="B39" i="4"/>
  <c r="K34" i="2"/>
  <c r="R9" i="7"/>
  <c r="F7" i="7"/>
  <c r="K145" i="3" l="1"/>
  <c r="Q15" i="7"/>
  <c r="R15" i="7" s="1"/>
  <c r="P8" i="7"/>
  <c r="Q14" i="7"/>
  <c r="P11" i="7"/>
  <c r="R11" i="7" s="1"/>
  <c r="O145" i="3"/>
  <c r="D53" i="5"/>
  <c r="E51" i="5"/>
  <c r="B51" i="5" s="1"/>
  <c r="E50" i="5"/>
  <c r="B50" i="5" s="1"/>
  <c r="O29" i="3"/>
  <c r="D54" i="4"/>
  <c r="E52" i="4"/>
  <c r="B52" i="4" s="1"/>
  <c r="L29" i="3"/>
  <c r="D51" i="4"/>
  <c r="N29" i="3"/>
  <c r="T8" i="2"/>
  <c r="B38" i="5" l="1"/>
  <c r="N34" i="7"/>
  <c r="J145" i="3" s="1"/>
  <c r="Q123" i="3" s="1"/>
  <c r="D52" i="5"/>
  <c r="E52" i="5" s="1"/>
  <c r="B52" i="5" s="1"/>
  <c r="R14" i="7"/>
  <c r="K34" i="7"/>
  <c r="N145" i="3" s="1"/>
  <c r="Q126" i="3" s="1"/>
  <c r="E53" i="5"/>
  <c r="B53" i="5" s="1"/>
  <c r="Q10" i="3"/>
  <c r="E54" i="4"/>
  <c r="B54" i="4" s="1"/>
  <c r="E51" i="4"/>
  <c r="B51" i="4" s="1"/>
  <c r="Q31" i="3"/>
  <c r="Q30" i="3"/>
  <c r="I30" i="3"/>
  <c r="A146" i="3"/>
  <c r="Q147" i="3"/>
  <c r="Q146" i="3"/>
  <c r="I147" i="3"/>
  <c r="I148" i="3"/>
  <c r="I149" i="3"/>
  <c r="I146" i="3"/>
  <c r="E126" i="3"/>
  <c r="E122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B36" i="5" l="1"/>
  <c r="B32" i="5"/>
  <c r="B21" i="5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P34" i="7"/>
  <c r="H145" i="3" s="1"/>
  <c r="F29" i="7"/>
  <c r="F27" i="7"/>
  <c r="F28" i="7" s="1"/>
  <c r="D9" i="7"/>
  <c r="H8" i="7"/>
  <c r="D8" i="7"/>
  <c r="W7" i="7"/>
  <c r="W8" i="7" s="1"/>
  <c r="H7" i="7"/>
  <c r="D7" i="7"/>
  <c r="E34" i="7" s="1"/>
  <c r="D145" i="3" s="1"/>
  <c r="F6" i="7"/>
  <c r="D6" i="7" s="1"/>
  <c r="D5" i="7"/>
  <c r="Q4" i="7"/>
  <c r="D4" i="7"/>
  <c r="B37" i="4"/>
  <c r="M34" i="2"/>
  <c r="P34" i="2"/>
  <c r="H29" i="3" s="1"/>
  <c r="B33" i="4"/>
  <c r="B22" i="4"/>
  <c r="M34" i="7" l="1"/>
  <c r="H34" i="7" s="1"/>
  <c r="S34" i="7" s="1"/>
  <c r="T8" i="7"/>
  <c r="I29" i="3"/>
  <c r="F30" i="7"/>
  <c r="A36" i="7"/>
  <c r="F3" i="2"/>
  <c r="F3" i="7" s="1"/>
  <c r="E123" i="3" s="1"/>
  <c r="E124" i="3" s="1"/>
  <c r="I145" i="3" l="1"/>
  <c r="Q121" i="3" s="1"/>
  <c r="A147" i="3"/>
  <c r="R37" i="7"/>
  <c r="F19" i="7"/>
  <c r="F24" i="7"/>
  <c r="D3" i="7"/>
  <c r="B34" i="7" s="1"/>
  <c r="B118" i="7" s="1"/>
  <c r="P147" i="3"/>
  <c r="P146" i="3"/>
  <c r="A37" i="7"/>
  <c r="H8" i="2"/>
  <c r="F29" i="2"/>
  <c r="F24" i="2"/>
  <c r="F27" i="2"/>
  <c r="A148" i="3" l="1"/>
  <c r="R38" i="7"/>
  <c r="B43" i="7"/>
  <c r="C43" i="7" s="1"/>
  <c r="B154" i="3" s="1"/>
  <c r="B84" i="7"/>
  <c r="C84" i="7" s="1"/>
  <c r="B195" i="3" s="1"/>
  <c r="B72" i="7"/>
  <c r="C72" i="7" s="1"/>
  <c r="B183" i="3" s="1"/>
  <c r="B68" i="7"/>
  <c r="C68" i="7" s="1"/>
  <c r="B179" i="3" s="1"/>
  <c r="B70" i="7"/>
  <c r="C70" i="7" s="1"/>
  <c r="B181" i="3" s="1"/>
  <c r="B87" i="7"/>
  <c r="C87" i="7" s="1"/>
  <c r="B198" i="3" s="1"/>
  <c r="B100" i="7"/>
  <c r="C100" i="7" s="1"/>
  <c r="B211" i="3" s="1"/>
  <c r="B85" i="7"/>
  <c r="C85" i="7" s="1"/>
  <c r="B196" i="3" s="1"/>
  <c r="B46" i="7"/>
  <c r="C46" i="7" s="1"/>
  <c r="B157" i="3" s="1"/>
  <c r="B40" i="7"/>
  <c r="C40" i="7" s="1"/>
  <c r="B151" i="3" s="1"/>
  <c r="B51" i="7"/>
  <c r="C51" i="7" s="1"/>
  <c r="B162" i="3" s="1"/>
  <c r="B47" i="7"/>
  <c r="B37" i="7"/>
  <c r="C37" i="7" s="1"/>
  <c r="B148" i="3" s="1"/>
  <c r="B105" i="7"/>
  <c r="C105" i="7" s="1"/>
  <c r="B216" i="3" s="1"/>
  <c r="B80" i="7"/>
  <c r="C80" i="7" s="1"/>
  <c r="B191" i="3" s="1"/>
  <c r="B111" i="7"/>
  <c r="C111" i="7" s="1"/>
  <c r="B222" i="3" s="1"/>
  <c r="B106" i="7"/>
  <c r="C106" i="7" s="1"/>
  <c r="B217" i="3" s="1"/>
  <c r="B52" i="7"/>
  <c r="C52" i="7" s="1"/>
  <c r="B163" i="3" s="1"/>
  <c r="B77" i="7"/>
  <c r="C77" i="7" s="1"/>
  <c r="B188" i="3" s="1"/>
  <c r="B117" i="7"/>
  <c r="C117" i="7" s="1"/>
  <c r="B228" i="3" s="1"/>
  <c r="B98" i="7"/>
  <c r="C98" i="7" s="1"/>
  <c r="B209" i="3" s="1"/>
  <c r="B78" i="7"/>
  <c r="C78" i="7" s="1"/>
  <c r="B189" i="3" s="1"/>
  <c r="C118" i="7"/>
  <c r="B229" i="3" s="1"/>
  <c r="B89" i="7"/>
  <c r="C89" i="7" s="1"/>
  <c r="B200" i="3" s="1"/>
  <c r="B54" i="7"/>
  <c r="C54" i="7" s="1"/>
  <c r="B165" i="3" s="1"/>
  <c r="B82" i="7"/>
  <c r="C82" i="7" s="1"/>
  <c r="B193" i="3" s="1"/>
  <c r="B97" i="7"/>
  <c r="C97" i="7" s="1"/>
  <c r="B208" i="3" s="1"/>
  <c r="B73" i="7"/>
  <c r="C73" i="7" s="1"/>
  <c r="B184" i="3" s="1"/>
  <c r="B66" i="7"/>
  <c r="C66" i="7" s="1"/>
  <c r="B177" i="3" s="1"/>
  <c r="B103" i="7"/>
  <c r="C103" i="7" s="1"/>
  <c r="B214" i="3" s="1"/>
  <c r="B62" i="7"/>
  <c r="C62" i="7" s="1"/>
  <c r="B173" i="3" s="1"/>
  <c r="B56" i="7"/>
  <c r="C56" i="7" s="1"/>
  <c r="B167" i="3" s="1"/>
  <c r="B41" i="7"/>
  <c r="C41" i="7" s="1"/>
  <c r="B152" i="3" s="1"/>
  <c r="B48" i="7"/>
  <c r="C48" i="7" s="1"/>
  <c r="B159" i="3" s="1"/>
  <c r="B67" i="7"/>
  <c r="C67" i="7" s="1"/>
  <c r="B178" i="3" s="1"/>
  <c r="B58" i="7"/>
  <c r="C58" i="7" s="1"/>
  <c r="B169" i="3" s="1"/>
  <c r="B113" i="7"/>
  <c r="C113" i="7" s="1"/>
  <c r="B224" i="3" s="1"/>
  <c r="B45" i="7"/>
  <c r="B92" i="7"/>
  <c r="C92" i="7" s="1"/>
  <c r="B203" i="3" s="1"/>
  <c r="B60" i="7"/>
  <c r="C60" i="7" s="1"/>
  <c r="B171" i="3" s="1"/>
  <c r="B63" i="7"/>
  <c r="C63" i="7" s="1"/>
  <c r="B174" i="3" s="1"/>
  <c r="B59" i="7"/>
  <c r="C59" i="7" s="1"/>
  <c r="B170" i="3" s="1"/>
  <c r="B107" i="7"/>
  <c r="C107" i="7" s="1"/>
  <c r="B218" i="3" s="1"/>
  <c r="B81" i="7"/>
  <c r="C81" i="7" s="1"/>
  <c r="B192" i="3" s="1"/>
  <c r="B116" i="7"/>
  <c r="C116" i="7" s="1"/>
  <c r="B227" i="3" s="1"/>
  <c r="B95" i="7"/>
  <c r="C95" i="7" s="1"/>
  <c r="B206" i="3" s="1"/>
  <c r="B99" i="7"/>
  <c r="C99" i="7" s="1"/>
  <c r="B210" i="3" s="1"/>
  <c r="B76" i="7"/>
  <c r="C76" i="7" s="1"/>
  <c r="B187" i="3" s="1"/>
  <c r="B50" i="7"/>
  <c r="C50" i="7" s="1"/>
  <c r="B161" i="3" s="1"/>
  <c r="B114" i="7"/>
  <c r="C114" i="7" s="1"/>
  <c r="B225" i="3" s="1"/>
  <c r="B93" i="7"/>
  <c r="C93" i="7" s="1"/>
  <c r="B204" i="3" s="1"/>
  <c r="B86" i="7"/>
  <c r="C86" i="7" s="1"/>
  <c r="B197" i="3" s="1"/>
  <c r="B42" i="7"/>
  <c r="C42" i="7" s="1"/>
  <c r="B153" i="3" s="1"/>
  <c r="B110" i="7"/>
  <c r="C110" i="7" s="1"/>
  <c r="B221" i="3" s="1"/>
  <c r="B79" i="7"/>
  <c r="C79" i="7" s="1"/>
  <c r="B190" i="3" s="1"/>
  <c r="B65" i="7"/>
  <c r="C65" i="7" s="1"/>
  <c r="B176" i="3" s="1"/>
  <c r="B49" i="7"/>
  <c r="C49" i="7" s="1"/>
  <c r="B160" i="3" s="1"/>
  <c r="B109" i="7"/>
  <c r="C109" i="7" s="1"/>
  <c r="B220" i="3" s="1"/>
  <c r="B64" i="7"/>
  <c r="C64" i="7" s="1"/>
  <c r="B175" i="3" s="1"/>
  <c r="B112" i="7"/>
  <c r="C112" i="7" s="1"/>
  <c r="B223" i="3" s="1"/>
  <c r="B96" i="7"/>
  <c r="C96" i="7" s="1"/>
  <c r="B207" i="3" s="1"/>
  <c r="B61" i="7"/>
  <c r="C61" i="7" s="1"/>
  <c r="B172" i="3" s="1"/>
  <c r="B44" i="7"/>
  <c r="C44" i="7" s="1"/>
  <c r="B155" i="3" s="1"/>
  <c r="B91" i="7"/>
  <c r="C91" i="7" s="1"/>
  <c r="B202" i="3" s="1"/>
  <c r="B90" i="7"/>
  <c r="C90" i="7" s="1"/>
  <c r="B201" i="3" s="1"/>
  <c r="B83" i="7"/>
  <c r="C83" i="7" s="1"/>
  <c r="B194" i="3" s="1"/>
  <c r="B69" i="7"/>
  <c r="C69" i="7" s="1"/>
  <c r="B180" i="3" s="1"/>
  <c r="B38" i="7"/>
  <c r="B74" i="7"/>
  <c r="C74" i="7" s="1"/>
  <c r="B185" i="3" s="1"/>
  <c r="B108" i="7"/>
  <c r="C108" i="7" s="1"/>
  <c r="B219" i="3" s="1"/>
  <c r="B71" i="7"/>
  <c r="C71" i="7" s="1"/>
  <c r="B182" i="3" s="1"/>
  <c r="B53" i="7"/>
  <c r="C53" i="7" s="1"/>
  <c r="B164" i="3" s="1"/>
  <c r="B39" i="7"/>
  <c r="B104" i="7"/>
  <c r="C104" i="7" s="1"/>
  <c r="B215" i="3" s="1"/>
  <c r="B55" i="7"/>
  <c r="C55" i="7" s="1"/>
  <c r="B166" i="3" s="1"/>
  <c r="B57" i="7"/>
  <c r="C57" i="7" s="1"/>
  <c r="B168" i="3" s="1"/>
  <c r="C34" i="7"/>
  <c r="B101" i="7"/>
  <c r="C101" i="7" s="1"/>
  <c r="B212" i="3" s="1"/>
  <c r="B35" i="7"/>
  <c r="D35" i="7" s="1"/>
  <c r="B94" i="7"/>
  <c r="C94" i="7" s="1"/>
  <c r="B205" i="3" s="1"/>
  <c r="B88" i="7"/>
  <c r="C88" i="7" s="1"/>
  <c r="B199" i="3" s="1"/>
  <c r="B102" i="7"/>
  <c r="C102" i="7" s="1"/>
  <c r="B213" i="3" s="1"/>
  <c r="B36" i="7"/>
  <c r="C36" i="7" s="1"/>
  <c r="B147" i="3" s="1"/>
  <c r="B75" i="7"/>
  <c r="C75" i="7" s="1"/>
  <c r="B186" i="3" s="1"/>
  <c r="B115" i="7"/>
  <c r="C115" i="7" s="1"/>
  <c r="B226" i="3" s="1"/>
  <c r="Q148" i="3"/>
  <c r="P148" i="3"/>
  <c r="A38" i="7"/>
  <c r="F19" i="2"/>
  <c r="C146" i="3" l="1"/>
  <c r="B145" i="3"/>
  <c r="A149" i="3"/>
  <c r="R39" i="7"/>
  <c r="C47" i="7"/>
  <c r="C39" i="7"/>
  <c r="D46" i="7"/>
  <c r="C157" i="3" s="1"/>
  <c r="C45" i="7"/>
  <c r="B156" i="3" s="1"/>
  <c r="C35" i="7"/>
  <c r="D42" i="7"/>
  <c r="C153" i="3" s="1"/>
  <c r="D40" i="7"/>
  <c r="C151" i="3" s="1"/>
  <c r="D41" i="7"/>
  <c r="C152" i="3" s="1"/>
  <c r="D43" i="7"/>
  <c r="C154" i="3" s="1"/>
  <c r="D45" i="7"/>
  <c r="C156" i="3" s="1"/>
  <c r="D39" i="7"/>
  <c r="C150" i="3" s="1"/>
  <c r="D38" i="7"/>
  <c r="C149" i="3" s="1"/>
  <c r="D37" i="7"/>
  <c r="C148" i="3" s="1"/>
  <c r="D36" i="7"/>
  <c r="C147" i="3" s="1"/>
  <c r="D44" i="7"/>
  <c r="C155" i="3" s="1"/>
  <c r="Q149" i="3"/>
  <c r="P149" i="3"/>
  <c r="C38" i="7"/>
  <c r="B149" i="3" s="1"/>
  <c r="A39" i="7"/>
  <c r="R40" i="7" s="1"/>
  <c r="D8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D3" i="2"/>
  <c r="B34" i="2" s="1"/>
  <c r="A30" i="3"/>
  <c r="E10" i="3"/>
  <c r="E7" i="3"/>
  <c r="E8" i="3" s="1"/>
  <c r="W7" i="2"/>
  <c r="W8" i="2" s="1"/>
  <c r="F6" i="2"/>
  <c r="D9" i="2"/>
  <c r="D5" i="2"/>
  <c r="D4" i="2"/>
  <c r="G35" i="7" l="1"/>
  <c r="F35" i="7" s="1"/>
  <c r="Q36" i="2"/>
  <c r="P31" i="3" s="1"/>
  <c r="Q35" i="2"/>
  <c r="P30" i="3" s="1"/>
  <c r="B158" i="3"/>
  <c r="A150" i="3"/>
  <c r="K150" i="3"/>
  <c r="I39" i="7"/>
  <c r="L150" i="3" s="1"/>
  <c r="K39" i="7"/>
  <c r="N150" i="3" s="1"/>
  <c r="N39" i="7"/>
  <c r="J150" i="3" s="1"/>
  <c r="J39" i="7"/>
  <c r="M150" i="3" s="1"/>
  <c r="L39" i="7"/>
  <c r="O150" i="3" s="1"/>
  <c r="B150" i="3"/>
  <c r="B146" i="3"/>
  <c r="P150" i="3"/>
  <c r="Q150" i="3"/>
  <c r="A40" i="7"/>
  <c r="R41" i="7" s="1"/>
  <c r="M39" i="7"/>
  <c r="F28" i="2"/>
  <c r="F30" i="2" s="1"/>
  <c r="D6" i="2"/>
  <c r="A36" i="2"/>
  <c r="Q37" i="2" s="1"/>
  <c r="B116" i="2"/>
  <c r="C116" i="2" s="1"/>
  <c r="B115" i="2"/>
  <c r="C115" i="2" s="1"/>
  <c r="B118" i="2"/>
  <c r="C118" i="2" s="1"/>
  <c r="B114" i="2"/>
  <c r="C114" i="2" s="1"/>
  <c r="B112" i="2"/>
  <c r="C112" i="2" s="1"/>
  <c r="B110" i="2"/>
  <c r="C110" i="2" s="1"/>
  <c r="B108" i="2"/>
  <c r="C108" i="2" s="1"/>
  <c r="B106" i="2"/>
  <c r="C106" i="2" s="1"/>
  <c r="B104" i="2"/>
  <c r="C104" i="2" s="1"/>
  <c r="B102" i="2"/>
  <c r="C102" i="2" s="1"/>
  <c r="B100" i="2"/>
  <c r="C100" i="2" s="1"/>
  <c r="B98" i="2"/>
  <c r="C98" i="2" s="1"/>
  <c r="B96" i="2"/>
  <c r="C96" i="2" s="1"/>
  <c r="B94" i="2"/>
  <c r="C94" i="2" s="1"/>
  <c r="B92" i="2"/>
  <c r="C92" i="2" s="1"/>
  <c r="B90" i="2"/>
  <c r="C90" i="2" s="1"/>
  <c r="B88" i="2"/>
  <c r="C88" i="2" s="1"/>
  <c r="B86" i="2"/>
  <c r="C86" i="2" s="1"/>
  <c r="B84" i="2"/>
  <c r="C84" i="2" s="1"/>
  <c r="B82" i="2"/>
  <c r="C82" i="2" s="1"/>
  <c r="B80" i="2"/>
  <c r="C80" i="2" s="1"/>
  <c r="B78" i="2"/>
  <c r="C78" i="2" s="1"/>
  <c r="B76" i="2"/>
  <c r="C76" i="2" s="1"/>
  <c r="B74" i="2"/>
  <c r="C74" i="2" s="1"/>
  <c r="B72" i="2"/>
  <c r="C72" i="2" s="1"/>
  <c r="B70" i="2"/>
  <c r="C70" i="2" s="1"/>
  <c r="B68" i="2"/>
  <c r="C68" i="2" s="1"/>
  <c r="B66" i="2"/>
  <c r="C66" i="2" s="1"/>
  <c r="B64" i="2"/>
  <c r="C64" i="2" s="1"/>
  <c r="B62" i="2"/>
  <c r="C62" i="2" s="1"/>
  <c r="B60" i="2"/>
  <c r="C60" i="2" s="1"/>
  <c r="B58" i="2"/>
  <c r="C58" i="2" s="1"/>
  <c r="B56" i="2"/>
  <c r="C56" i="2" s="1"/>
  <c r="B54" i="2"/>
  <c r="C54" i="2" s="1"/>
  <c r="B52" i="2"/>
  <c r="C52" i="2" s="1"/>
  <c r="B50" i="2"/>
  <c r="C50" i="2" s="1"/>
  <c r="B48" i="2"/>
  <c r="C48" i="2" s="1"/>
  <c r="B117" i="2"/>
  <c r="C117" i="2" s="1"/>
  <c r="B113" i="2"/>
  <c r="C113" i="2" s="1"/>
  <c r="B111" i="2"/>
  <c r="C111" i="2" s="1"/>
  <c r="B109" i="2"/>
  <c r="C109" i="2" s="1"/>
  <c r="B107" i="2"/>
  <c r="C107" i="2" s="1"/>
  <c r="B105" i="2"/>
  <c r="C105" i="2" s="1"/>
  <c r="B103" i="2"/>
  <c r="C103" i="2" s="1"/>
  <c r="B101" i="2"/>
  <c r="C101" i="2" s="1"/>
  <c r="B99" i="2"/>
  <c r="C99" i="2" s="1"/>
  <c r="B97" i="2"/>
  <c r="C97" i="2" s="1"/>
  <c r="B95" i="2"/>
  <c r="C95" i="2" s="1"/>
  <c r="B93" i="2"/>
  <c r="C93" i="2" s="1"/>
  <c r="B91" i="2"/>
  <c r="C91" i="2" s="1"/>
  <c r="B89" i="2"/>
  <c r="C89" i="2" s="1"/>
  <c r="B87" i="2"/>
  <c r="C87" i="2" s="1"/>
  <c r="B85" i="2"/>
  <c r="C85" i="2" s="1"/>
  <c r="B83" i="2"/>
  <c r="C83" i="2" s="1"/>
  <c r="B81" i="2"/>
  <c r="C81" i="2" s="1"/>
  <c r="B79" i="2"/>
  <c r="C79" i="2" s="1"/>
  <c r="B77" i="2"/>
  <c r="C77" i="2" s="1"/>
  <c r="B75" i="2"/>
  <c r="C75" i="2" s="1"/>
  <c r="B73" i="2"/>
  <c r="C73" i="2" s="1"/>
  <c r="B71" i="2"/>
  <c r="C71" i="2" s="1"/>
  <c r="B69" i="2"/>
  <c r="C69" i="2" s="1"/>
  <c r="B67" i="2"/>
  <c r="C67" i="2" s="1"/>
  <c r="B65" i="2"/>
  <c r="C65" i="2" s="1"/>
  <c r="B63" i="2"/>
  <c r="C63" i="2" s="1"/>
  <c r="B61" i="2"/>
  <c r="C61" i="2" s="1"/>
  <c r="B59" i="2"/>
  <c r="C59" i="2" s="1"/>
  <c r="B57" i="2"/>
  <c r="C57" i="2" s="1"/>
  <c r="B55" i="2"/>
  <c r="C55" i="2" s="1"/>
  <c r="B53" i="2"/>
  <c r="C53" i="2" s="1"/>
  <c r="B51" i="2"/>
  <c r="C51" i="2" s="1"/>
  <c r="B49" i="2"/>
  <c r="C49" i="2" s="1"/>
  <c r="B47" i="2"/>
  <c r="B45" i="2"/>
  <c r="C45" i="2" s="1"/>
  <c r="B43" i="2"/>
  <c r="C43" i="2" s="1"/>
  <c r="B41" i="2"/>
  <c r="C41" i="2" s="1"/>
  <c r="B39" i="2"/>
  <c r="B37" i="2"/>
  <c r="B36" i="2"/>
  <c r="B46" i="2"/>
  <c r="C46" i="2" s="1"/>
  <c r="B44" i="2"/>
  <c r="C44" i="2" s="1"/>
  <c r="B42" i="2"/>
  <c r="C42" i="2" s="1"/>
  <c r="B40" i="2"/>
  <c r="C40" i="2" s="1"/>
  <c r="B38" i="2"/>
  <c r="B35" i="2"/>
  <c r="D7" i="2"/>
  <c r="Q4" i="2"/>
  <c r="E6" i="3"/>
  <c r="C34" i="2"/>
  <c r="G146" i="3" l="1"/>
  <c r="A151" i="3"/>
  <c r="L40" i="7"/>
  <c r="O151" i="3" s="1"/>
  <c r="J40" i="7"/>
  <c r="M151" i="3" s="1"/>
  <c r="K40" i="7"/>
  <c r="N151" i="3" s="1"/>
  <c r="I40" i="7"/>
  <c r="L151" i="3" s="1"/>
  <c r="A31" i="3"/>
  <c r="C47" i="2"/>
  <c r="C39" i="2"/>
  <c r="I150" i="3"/>
  <c r="P151" i="3"/>
  <c r="Q151" i="3"/>
  <c r="M40" i="7"/>
  <c r="A41" i="7"/>
  <c r="R42" i="7" s="1"/>
  <c r="A37" i="2"/>
  <c r="Q38" i="2" s="1"/>
  <c r="E34" i="2"/>
  <c r="H34" i="2" s="1"/>
  <c r="S34" i="2" s="1"/>
  <c r="B29" i="3"/>
  <c r="C35" i="2"/>
  <c r="D35" i="2"/>
  <c r="G35" i="2" l="1"/>
  <c r="F35" i="2" s="1"/>
  <c r="A152" i="3"/>
  <c r="L41" i="7"/>
  <c r="O152" i="3" s="1"/>
  <c r="J41" i="7"/>
  <c r="M152" i="3" s="1"/>
  <c r="K41" i="7"/>
  <c r="N152" i="3" s="1"/>
  <c r="I41" i="7"/>
  <c r="L152" i="3" s="1"/>
  <c r="R38" i="2"/>
  <c r="Q33" i="3" s="1"/>
  <c r="Q152" i="3"/>
  <c r="I151" i="3"/>
  <c r="P152" i="3"/>
  <c r="A42" i="7"/>
  <c r="R43" i="7" s="1"/>
  <c r="M41" i="7"/>
  <c r="P33" i="3"/>
  <c r="A32" i="3"/>
  <c r="A38" i="2"/>
  <c r="Q39" i="2" s="1"/>
  <c r="B30" i="3"/>
  <c r="D29" i="3"/>
  <c r="Q5" i="3"/>
  <c r="C30" i="3"/>
  <c r="C36" i="2"/>
  <c r="D36" i="2"/>
  <c r="C31" i="3" s="1"/>
  <c r="B31" i="3" l="1"/>
  <c r="A153" i="3"/>
  <c r="L42" i="7"/>
  <c r="O153" i="3" s="1"/>
  <c r="J42" i="7"/>
  <c r="M153" i="3" s="1"/>
  <c r="K42" i="7"/>
  <c r="N153" i="3" s="1"/>
  <c r="I42" i="7"/>
  <c r="L153" i="3" s="1"/>
  <c r="R39" i="2"/>
  <c r="Q34" i="3" s="1"/>
  <c r="Q153" i="3"/>
  <c r="I152" i="3"/>
  <c r="P153" i="3"/>
  <c r="M42" i="7"/>
  <c r="A43" i="7"/>
  <c r="R44" i="7" s="1"/>
  <c r="P34" i="3"/>
  <c r="A39" i="2"/>
  <c r="A33" i="3"/>
  <c r="D37" i="2"/>
  <c r="C32" i="3" s="1"/>
  <c r="C37" i="2"/>
  <c r="B32" i="3" s="1"/>
  <c r="G30" i="3"/>
  <c r="R40" i="2" l="1"/>
  <c r="Q40" i="2"/>
  <c r="E30" i="3"/>
  <c r="S35" i="2"/>
  <c r="A154" i="3"/>
  <c r="L43" i="7"/>
  <c r="O154" i="3" s="1"/>
  <c r="J43" i="7"/>
  <c r="M154" i="3" s="1"/>
  <c r="K43" i="7"/>
  <c r="N154" i="3" s="1"/>
  <c r="I43" i="7"/>
  <c r="L154" i="3" s="1"/>
  <c r="O39" i="2"/>
  <c r="K34" i="3" s="1"/>
  <c r="N39" i="2"/>
  <c r="J34" i="3" s="1"/>
  <c r="Q35" i="3"/>
  <c r="I39" i="2"/>
  <c r="L34" i="3" s="1"/>
  <c r="K39" i="2"/>
  <c r="N34" i="3" s="1"/>
  <c r="J39" i="2"/>
  <c r="M34" i="3" s="1"/>
  <c r="L39" i="2"/>
  <c r="I153" i="3"/>
  <c r="P154" i="3"/>
  <c r="Q154" i="3"/>
  <c r="A44" i="7"/>
  <c r="R45" i="7" s="1"/>
  <c r="M43" i="7"/>
  <c r="A40" i="2"/>
  <c r="P35" i="3"/>
  <c r="A34" i="3"/>
  <c r="M39" i="2"/>
  <c r="I34" i="3" s="1"/>
  <c r="E35" i="2"/>
  <c r="F30" i="3"/>
  <c r="D38" i="2"/>
  <c r="C33" i="3" s="1"/>
  <c r="C38" i="2"/>
  <c r="B33" i="3" s="1"/>
  <c r="G36" i="2" l="1"/>
  <c r="F36" i="2" s="1"/>
  <c r="R41" i="2"/>
  <c r="Q36" i="3" s="1"/>
  <c r="Q41" i="2"/>
  <c r="P36" i="3" s="1"/>
  <c r="O34" i="3"/>
  <c r="H34" i="3"/>
  <c r="A155" i="3"/>
  <c r="L44" i="7"/>
  <c r="O155" i="3" s="1"/>
  <c r="J44" i="7"/>
  <c r="M155" i="3" s="1"/>
  <c r="K44" i="7"/>
  <c r="N155" i="3" s="1"/>
  <c r="I44" i="7"/>
  <c r="L155" i="3" s="1"/>
  <c r="O40" i="2"/>
  <c r="K35" i="3" s="1"/>
  <c r="N40" i="2"/>
  <c r="J35" i="3" s="1"/>
  <c r="L40" i="2"/>
  <c r="J40" i="2"/>
  <c r="M35" i="3" s="1"/>
  <c r="K40" i="2"/>
  <c r="N35" i="3" s="1"/>
  <c r="I40" i="2"/>
  <c r="L35" i="3" s="1"/>
  <c r="P155" i="3"/>
  <c r="Q155" i="3"/>
  <c r="I154" i="3"/>
  <c r="M44" i="7"/>
  <c r="A45" i="7"/>
  <c r="R46" i="7" s="1"/>
  <c r="A41" i="2"/>
  <c r="A35" i="3"/>
  <c r="M40" i="2"/>
  <c r="I35" i="3" s="1"/>
  <c r="D39" i="2"/>
  <c r="C34" i="3" s="1"/>
  <c r="B34" i="3"/>
  <c r="D30" i="3"/>
  <c r="R42" i="2" l="1"/>
  <c r="Q42" i="2"/>
  <c r="P37" i="3" s="1"/>
  <c r="O35" i="3"/>
  <c r="H35" i="3"/>
  <c r="A156" i="3"/>
  <c r="L45" i="7"/>
  <c r="O156" i="3" s="1"/>
  <c r="J45" i="7"/>
  <c r="M156" i="3" s="1"/>
  <c r="K45" i="7"/>
  <c r="N156" i="3" s="1"/>
  <c r="I45" i="7"/>
  <c r="L156" i="3" s="1"/>
  <c r="O41" i="2"/>
  <c r="K36" i="3" s="1"/>
  <c r="N41" i="2"/>
  <c r="J36" i="3" s="1"/>
  <c r="Q37" i="3"/>
  <c r="L41" i="2"/>
  <c r="J41" i="2"/>
  <c r="M36" i="3" s="1"/>
  <c r="K41" i="2"/>
  <c r="N36" i="3" s="1"/>
  <c r="I41" i="2"/>
  <c r="L36" i="3" s="1"/>
  <c r="Q156" i="3"/>
  <c r="I155" i="3"/>
  <c r="P156" i="3"/>
  <c r="A46" i="7"/>
  <c r="M45" i="7"/>
  <c r="A42" i="2"/>
  <c r="A36" i="3"/>
  <c r="M41" i="2"/>
  <c r="I36" i="3" s="1"/>
  <c r="H36" i="2"/>
  <c r="G31" i="3"/>
  <c r="D40" i="2"/>
  <c r="C35" i="3" s="1"/>
  <c r="B35" i="3"/>
  <c r="R43" i="2" l="1"/>
  <c r="Q43" i="2"/>
  <c r="S36" i="2"/>
  <c r="P32" i="3"/>
  <c r="A43" i="2"/>
  <c r="A44" i="2" s="1"/>
  <c r="O36" i="3"/>
  <c r="H36" i="3"/>
  <c r="A157" i="3"/>
  <c r="L46" i="7"/>
  <c r="O157" i="3" s="1"/>
  <c r="J46" i="7"/>
  <c r="M157" i="3" s="1"/>
  <c r="K46" i="7"/>
  <c r="N157" i="3" s="1"/>
  <c r="I46" i="7"/>
  <c r="L157" i="3" s="1"/>
  <c r="O42" i="2"/>
  <c r="K37" i="3" s="1"/>
  <c r="N42" i="2"/>
  <c r="J37" i="3" s="1"/>
  <c r="Q38" i="3"/>
  <c r="L42" i="2"/>
  <c r="J42" i="2"/>
  <c r="M37" i="3" s="1"/>
  <c r="K42" i="2"/>
  <c r="N37" i="3" s="1"/>
  <c r="I42" i="2"/>
  <c r="L37" i="3" s="1"/>
  <c r="Q157" i="3"/>
  <c r="I156" i="3"/>
  <c r="P157" i="3"/>
  <c r="M46" i="7"/>
  <c r="A47" i="7"/>
  <c r="R48" i="7" s="1"/>
  <c r="A37" i="3"/>
  <c r="P38" i="3"/>
  <c r="M42" i="2"/>
  <c r="I37" i="3" s="1"/>
  <c r="E31" i="3"/>
  <c r="D41" i="2"/>
  <c r="C36" i="3" s="1"/>
  <c r="B36" i="3"/>
  <c r="F31" i="3"/>
  <c r="E36" i="2"/>
  <c r="G37" i="2" l="1"/>
  <c r="F37" i="2" s="1"/>
  <c r="F20" i="2" s="1"/>
  <c r="F22" i="2" s="1"/>
  <c r="R45" i="2"/>
  <c r="Q45" i="2"/>
  <c r="R44" i="2"/>
  <c r="Q39" i="3" s="1"/>
  <c r="Q44" i="2"/>
  <c r="P39" i="3" s="1"/>
  <c r="O43" i="2"/>
  <c r="K38" i="3" s="1"/>
  <c r="A38" i="3"/>
  <c r="L43" i="2"/>
  <c r="O38" i="3" s="1"/>
  <c r="M43" i="2"/>
  <c r="I38" i="3" s="1"/>
  <c r="N43" i="2"/>
  <c r="J38" i="3" s="1"/>
  <c r="I43" i="2"/>
  <c r="L38" i="3" s="1"/>
  <c r="K43" i="2"/>
  <c r="N38" i="3" s="1"/>
  <c r="J43" i="2"/>
  <c r="M38" i="3" s="1"/>
  <c r="O37" i="3"/>
  <c r="H37" i="3"/>
  <c r="N48" i="7"/>
  <c r="J159" i="3" s="1"/>
  <c r="J48" i="7"/>
  <c r="M159" i="3" s="1"/>
  <c r="L48" i="7"/>
  <c r="O159" i="3" s="1"/>
  <c r="K159" i="3"/>
  <c r="I48" i="7"/>
  <c r="L159" i="3" s="1"/>
  <c r="K48" i="7"/>
  <c r="N159" i="3" s="1"/>
  <c r="A158" i="3"/>
  <c r="L47" i="7"/>
  <c r="O158" i="3" s="1"/>
  <c r="J47" i="7"/>
  <c r="M158" i="3" s="1"/>
  <c r="K47" i="7"/>
  <c r="N158" i="3" s="1"/>
  <c r="I47" i="7"/>
  <c r="L158" i="3" s="1"/>
  <c r="O44" i="2"/>
  <c r="K39" i="3" s="1"/>
  <c r="N44" i="2"/>
  <c r="J39" i="3" s="1"/>
  <c r="Q40" i="3"/>
  <c r="L44" i="2"/>
  <c r="J44" i="2"/>
  <c r="M39" i="3" s="1"/>
  <c r="K44" i="2"/>
  <c r="N39" i="3" s="1"/>
  <c r="I44" i="2"/>
  <c r="L39" i="3" s="1"/>
  <c r="I157" i="3"/>
  <c r="M48" i="7"/>
  <c r="M47" i="7"/>
  <c r="D47" i="7"/>
  <c r="C158" i="3" s="1"/>
  <c r="A48" i="7"/>
  <c r="R49" i="7" s="1"/>
  <c r="M44" i="2"/>
  <c r="I39" i="3" s="1"/>
  <c r="A45" i="2"/>
  <c r="P40" i="3"/>
  <c r="A39" i="3"/>
  <c r="R37" i="2"/>
  <c r="Q32" i="3" s="1"/>
  <c r="D31" i="3"/>
  <c r="D42" i="2"/>
  <c r="C37" i="3" s="1"/>
  <c r="B37" i="3"/>
  <c r="R46" i="2" l="1"/>
  <c r="Q46" i="2"/>
  <c r="P41" i="3" s="1"/>
  <c r="H38" i="3"/>
  <c r="O39" i="3"/>
  <c r="H39" i="3"/>
  <c r="A159" i="3"/>
  <c r="K160" i="3"/>
  <c r="N49" i="7"/>
  <c r="J160" i="3" s="1"/>
  <c r="K49" i="7"/>
  <c r="N160" i="3" s="1"/>
  <c r="I49" i="7"/>
  <c r="L160" i="3" s="1"/>
  <c r="L49" i="7"/>
  <c r="O160" i="3" s="1"/>
  <c r="J49" i="7"/>
  <c r="M160" i="3" s="1"/>
  <c r="O45" i="2"/>
  <c r="K40" i="3" s="1"/>
  <c r="N45" i="2"/>
  <c r="J40" i="3" s="1"/>
  <c r="L45" i="2"/>
  <c r="J45" i="2"/>
  <c r="M40" i="3" s="1"/>
  <c r="K45" i="2"/>
  <c r="N40" i="3" s="1"/>
  <c r="I45" i="2"/>
  <c r="L40" i="3" s="1"/>
  <c r="I158" i="3"/>
  <c r="P159" i="3"/>
  <c r="I159" i="3"/>
  <c r="Q159" i="3"/>
  <c r="M49" i="7"/>
  <c r="D48" i="7"/>
  <c r="C159" i="3" s="1"/>
  <c r="A49" i="7"/>
  <c r="R50" i="7" s="1"/>
  <c r="Q41" i="3"/>
  <c r="M45" i="2"/>
  <c r="I40" i="3" s="1"/>
  <c r="A46" i="2"/>
  <c r="A40" i="3"/>
  <c r="D43" i="2"/>
  <c r="C38" i="3" s="1"/>
  <c r="B38" i="3"/>
  <c r="H37" i="2"/>
  <c r="S37" i="2" s="1"/>
  <c r="G32" i="3"/>
  <c r="O47" i="2" l="1"/>
  <c r="O40" i="3"/>
  <c r="H40" i="3"/>
  <c r="A160" i="3"/>
  <c r="K161" i="3"/>
  <c r="N50" i="7"/>
  <c r="J161" i="3" s="1"/>
  <c r="K50" i="7"/>
  <c r="N161" i="3" s="1"/>
  <c r="I50" i="7"/>
  <c r="L161" i="3" s="1"/>
  <c r="L50" i="7"/>
  <c r="O161" i="3" s="1"/>
  <c r="J50" i="7"/>
  <c r="M161" i="3" s="1"/>
  <c r="O46" i="2"/>
  <c r="K41" i="3" s="1"/>
  <c r="N46" i="2"/>
  <c r="J41" i="3" s="1"/>
  <c r="L46" i="2"/>
  <c r="J46" i="2"/>
  <c r="M41" i="3" s="1"/>
  <c r="K46" i="2"/>
  <c r="N41" i="3" s="1"/>
  <c r="I46" i="2"/>
  <c r="L41" i="3" s="1"/>
  <c r="P160" i="3"/>
  <c r="I160" i="3"/>
  <c r="Q160" i="3"/>
  <c r="M50" i="7"/>
  <c r="A50" i="7"/>
  <c r="R51" i="7" s="1"/>
  <c r="D49" i="7"/>
  <c r="C160" i="3" s="1"/>
  <c r="M46" i="2"/>
  <c r="I41" i="3" s="1"/>
  <c r="A47" i="2"/>
  <c r="A41" i="3"/>
  <c r="F32" i="3"/>
  <c r="E37" i="2"/>
  <c r="G38" i="2" s="1"/>
  <c r="E32" i="3"/>
  <c r="D44" i="2"/>
  <c r="C39" i="3" s="1"/>
  <c r="B39" i="3"/>
  <c r="R48" i="2" l="1"/>
  <c r="Q43" i="3" s="1"/>
  <c r="Q48" i="2"/>
  <c r="O41" i="3"/>
  <c r="H41" i="3"/>
  <c r="A161" i="3"/>
  <c r="K162" i="3"/>
  <c r="N51" i="7"/>
  <c r="J162" i="3" s="1"/>
  <c r="K51" i="7"/>
  <c r="N162" i="3" s="1"/>
  <c r="I51" i="7"/>
  <c r="L162" i="3" s="1"/>
  <c r="L51" i="7"/>
  <c r="O162" i="3" s="1"/>
  <c r="J51" i="7"/>
  <c r="M162" i="3" s="1"/>
  <c r="O48" i="2"/>
  <c r="K43" i="3" s="1"/>
  <c r="L48" i="2"/>
  <c r="J48" i="2"/>
  <c r="M43" i="3" s="1"/>
  <c r="N48" i="2"/>
  <c r="J43" i="3" s="1"/>
  <c r="K48" i="2"/>
  <c r="N43" i="3" s="1"/>
  <c r="I48" i="2"/>
  <c r="L43" i="3" s="1"/>
  <c r="K42" i="3"/>
  <c r="N47" i="2"/>
  <c r="J42" i="3" s="1"/>
  <c r="L47" i="2"/>
  <c r="J47" i="2"/>
  <c r="M42" i="3" s="1"/>
  <c r="K47" i="2"/>
  <c r="N42" i="3" s="1"/>
  <c r="I47" i="2"/>
  <c r="L42" i="3" s="1"/>
  <c r="P161" i="3"/>
  <c r="I161" i="3"/>
  <c r="Q161" i="3"/>
  <c r="D50" i="7"/>
  <c r="C161" i="3" s="1"/>
  <c r="M51" i="7"/>
  <c r="A51" i="7"/>
  <c r="R52" i="7" s="1"/>
  <c r="D47" i="2"/>
  <c r="M48" i="2"/>
  <c r="I43" i="3" s="1"/>
  <c r="M47" i="2"/>
  <c r="I42" i="3" s="1"/>
  <c r="A48" i="2"/>
  <c r="A42" i="3"/>
  <c r="D45" i="2"/>
  <c r="C40" i="3" s="1"/>
  <c r="B40" i="3"/>
  <c r="F38" i="2"/>
  <c r="D32" i="3"/>
  <c r="R49" i="2" l="1"/>
  <c r="Q49" i="2"/>
  <c r="P44" i="3" s="1"/>
  <c r="O42" i="3"/>
  <c r="H42" i="3"/>
  <c r="O43" i="3"/>
  <c r="H43" i="3"/>
  <c r="A162" i="3"/>
  <c r="K163" i="3"/>
  <c r="N52" i="7"/>
  <c r="J163" i="3" s="1"/>
  <c r="K52" i="7"/>
  <c r="N163" i="3" s="1"/>
  <c r="I52" i="7"/>
  <c r="L163" i="3" s="1"/>
  <c r="L52" i="7"/>
  <c r="O163" i="3" s="1"/>
  <c r="J52" i="7"/>
  <c r="M163" i="3" s="1"/>
  <c r="O49" i="2"/>
  <c r="K44" i="3" s="1"/>
  <c r="N49" i="2"/>
  <c r="J44" i="3" s="1"/>
  <c r="K49" i="2"/>
  <c r="N44" i="3" s="1"/>
  <c r="I49" i="2"/>
  <c r="L44" i="3" s="1"/>
  <c r="L49" i="2"/>
  <c r="J49" i="2"/>
  <c r="M44" i="3" s="1"/>
  <c r="Q44" i="3"/>
  <c r="Q162" i="3"/>
  <c r="I162" i="3"/>
  <c r="P162" i="3"/>
  <c r="D51" i="7"/>
  <c r="C162" i="3" s="1"/>
  <c r="A52" i="7"/>
  <c r="R53" i="7" s="1"/>
  <c r="M52" i="7"/>
  <c r="D48" i="2"/>
  <c r="A49" i="2"/>
  <c r="M49" i="2"/>
  <c r="I44" i="3" s="1"/>
  <c r="A43" i="3"/>
  <c r="H38" i="2"/>
  <c r="S38" i="2" s="1"/>
  <c r="G33" i="3"/>
  <c r="B41" i="3"/>
  <c r="D46" i="2"/>
  <c r="C41" i="3" s="1"/>
  <c r="R50" i="2" l="1"/>
  <c r="Q45" i="3" s="1"/>
  <c r="Q50" i="2"/>
  <c r="O44" i="3"/>
  <c r="H44" i="3"/>
  <c r="A163" i="3"/>
  <c r="K164" i="3"/>
  <c r="N53" i="7"/>
  <c r="J164" i="3" s="1"/>
  <c r="K53" i="7"/>
  <c r="N164" i="3" s="1"/>
  <c r="I53" i="7"/>
  <c r="L164" i="3" s="1"/>
  <c r="L53" i="7"/>
  <c r="O164" i="3" s="1"/>
  <c r="J53" i="7"/>
  <c r="M164" i="3" s="1"/>
  <c r="O50" i="2"/>
  <c r="K45" i="3" s="1"/>
  <c r="N50" i="2"/>
  <c r="J45" i="3" s="1"/>
  <c r="K50" i="2"/>
  <c r="N45" i="3" s="1"/>
  <c r="I50" i="2"/>
  <c r="L45" i="3" s="1"/>
  <c r="L50" i="2"/>
  <c r="J50" i="2"/>
  <c r="M45" i="3" s="1"/>
  <c r="P163" i="3"/>
  <c r="I163" i="3"/>
  <c r="Q163" i="3"/>
  <c r="D52" i="7"/>
  <c r="C163" i="3" s="1"/>
  <c r="M53" i="7"/>
  <c r="A53" i="7"/>
  <c r="R54" i="7" s="1"/>
  <c r="D49" i="2"/>
  <c r="M50" i="2"/>
  <c r="I45" i="3" s="1"/>
  <c r="A50" i="2"/>
  <c r="P45" i="3"/>
  <c r="A44" i="3"/>
  <c r="B42" i="3"/>
  <c r="C42" i="3"/>
  <c r="E33" i="3"/>
  <c r="F33" i="3"/>
  <c r="E38" i="2"/>
  <c r="G39" i="2" s="1"/>
  <c r="R51" i="2" l="1"/>
  <c r="Q46" i="3" s="1"/>
  <c r="Q51" i="2"/>
  <c r="P46" i="3" s="1"/>
  <c r="O45" i="3"/>
  <c r="H45" i="3"/>
  <c r="A164" i="3"/>
  <c r="K165" i="3"/>
  <c r="N54" i="7"/>
  <c r="J165" i="3" s="1"/>
  <c r="K54" i="7"/>
  <c r="N165" i="3" s="1"/>
  <c r="I54" i="7"/>
  <c r="L165" i="3" s="1"/>
  <c r="L54" i="7"/>
  <c r="O165" i="3" s="1"/>
  <c r="J54" i="7"/>
  <c r="M165" i="3" s="1"/>
  <c r="O51" i="2"/>
  <c r="K46" i="3" s="1"/>
  <c r="N51" i="2"/>
  <c r="J46" i="3" s="1"/>
  <c r="K51" i="2"/>
  <c r="N46" i="3" s="1"/>
  <c r="I51" i="2"/>
  <c r="L46" i="3" s="1"/>
  <c r="L51" i="2"/>
  <c r="J51" i="2"/>
  <c r="M46" i="3" s="1"/>
  <c r="Q164" i="3"/>
  <c r="P164" i="3"/>
  <c r="I164" i="3"/>
  <c r="M54" i="7"/>
  <c r="A54" i="7"/>
  <c r="R55" i="7" s="1"/>
  <c r="D53" i="7"/>
  <c r="C164" i="3" s="1"/>
  <c r="D50" i="2"/>
  <c r="A51" i="2"/>
  <c r="M51" i="2"/>
  <c r="I46" i="3" s="1"/>
  <c r="A45" i="3"/>
  <c r="B43" i="3"/>
  <c r="C43" i="3"/>
  <c r="F39" i="2"/>
  <c r="D33" i="3"/>
  <c r="R52" i="2" l="1"/>
  <c r="Q47" i="3" s="1"/>
  <c r="Q52" i="2"/>
  <c r="P47" i="3" s="1"/>
  <c r="O46" i="3"/>
  <c r="H46" i="3"/>
  <c r="A165" i="3"/>
  <c r="K166" i="3"/>
  <c r="N55" i="7"/>
  <c r="J166" i="3" s="1"/>
  <c r="K55" i="7"/>
  <c r="N166" i="3" s="1"/>
  <c r="I55" i="7"/>
  <c r="L166" i="3" s="1"/>
  <c r="L55" i="7"/>
  <c r="O166" i="3" s="1"/>
  <c r="J55" i="7"/>
  <c r="M166" i="3" s="1"/>
  <c r="O52" i="2"/>
  <c r="K47" i="3" s="1"/>
  <c r="N52" i="2"/>
  <c r="J47" i="3" s="1"/>
  <c r="K52" i="2"/>
  <c r="N47" i="3" s="1"/>
  <c r="I52" i="2"/>
  <c r="L47" i="3" s="1"/>
  <c r="L52" i="2"/>
  <c r="J52" i="2"/>
  <c r="M47" i="3" s="1"/>
  <c r="P165" i="3"/>
  <c r="Q165" i="3"/>
  <c r="I165" i="3"/>
  <c r="A55" i="7"/>
  <c r="R56" i="7" s="1"/>
  <c r="M55" i="7"/>
  <c r="D54" i="7"/>
  <c r="C165" i="3" s="1"/>
  <c r="D51" i="2"/>
  <c r="M52" i="2"/>
  <c r="I47" i="3" s="1"/>
  <c r="A52" i="2"/>
  <c r="A46" i="3"/>
  <c r="B44" i="3"/>
  <c r="C44" i="3"/>
  <c r="H39" i="2"/>
  <c r="S39" i="2" s="1"/>
  <c r="G34" i="3"/>
  <c r="R53" i="2" l="1"/>
  <c r="Q48" i="3" s="1"/>
  <c r="Q53" i="2"/>
  <c r="O47" i="3"/>
  <c r="H47" i="3"/>
  <c r="A166" i="3"/>
  <c r="K167" i="3"/>
  <c r="N56" i="7"/>
  <c r="J167" i="3" s="1"/>
  <c r="K56" i="7"/>
  <c r="N167" i="3" s="1"/>
  <c r="I56" i="7"/>
  <c r="L167" i="3" s="1"/>
  <c r="L56" i="7"/>
  <c r="O167" i="3" s="1"/>
  <c r="J56" i="7"/>
  <c r="M167" i="3" s="1"/>
  <c r="O53" i="2"/>
  <c r="K48" i="3" s="1"/>
  <c r="N53" i="2"/>
  <c r="J48" i="3" s="1"/>
  <c r="K53" i="2"/>
  <c r="N48" i="3" s="1"/>
  <c r="I53" i="2"/>
  <c r="L48" i="3" s="1"/>
  <c r="L53" i="2"/>
  <c r="J53" i="2"/>
  <c r="M48" i="3" s="1"/>
  <c r="I166" i="3"/>
  <c r="Q166" i="3"/>
  <c r="P166" i="3"/>
  <c r="A56" i="7"/>
  <c r="R57" i="7" s="1"/>
  <c r="M56" i="7"/>
  <c r="D55" i="7"/>
  <c r="C166" i="3" s="1"/>
  <c r="D52" i="2"/>
  <c r="A53" i="2"/>
  <c r="M53" i="2"/>
  <c r="I48" i="3" s="1"/>
  <c r="A47" i="3"/>
  <c r="B45" i="3"/>
  <c r="C45" i="3"/>
  <c r="E34" i="3"/>
  <c r="F34" i="3"/>
  <c r="E39" i="2"/>
  <c r="G40" i="2" s="1"/>
  <c r="R54" i="2" l="1"/>
  <c r="Q49" i="3" s="1"/>
  <c r="Q54" i="2"/>
  <c r="P49" i="3" s="1"/>
  <c r="O48" i="3"/>
  <c r="H48" i="3"/>
  <c r="A167" i="3"/>
  <c r="K168" i="3"/>
  <c r="N57" i="7"/>
  <c r="J168" i="3" s="1"/>
  <c r="K57" i="7"/>
  <c r="N168" i="3" s="1"/>
  <c r="I57" i="7"/>
  <c r="L168" i="3" s="1"/>
  <c r="L57" i="7"/>
  <c r="O168" i="3" s="1"/>
  <c r="J57" i="7"/>
  <c r="M168" i="3" s="1"/>
  <c r="O54" i="2"/>
  <c r="K49" i="3" s="1"/>
  <c r="N54" i="2"/>
  <c r="J49" i="3" s="1"/>
  <c r="K54" i="2"/>
  <c r="N49" i="3" s="1"/>
  <c r="I54" i="2"/>
  <c r="L49" i="3" s="1"/>
  <c r="L54" i="2"/>
  <c r="J54" i="2"/>
  <c r="M49" i="3" s="1"/>
  <c r="P167" i="3"/>
  <c r="Q167" i="3"/>
  <c r="I167" i="3"/>
  <c r="A57" i="7"/>
  <c r="R58" i="7" s="1"/>
  <c r="M57" i="7"/>
  <c r="D56" i="7"/>
  <c r="C167" i="3" s="1"/>
  <c r="D53" i="2"/>
  <c r="A54" i="2"/>
  <c r="A48" i="3"/>
  <c r="M54" i="2"/>
  <c r="I49" i="3" s="1"/>
  <c r="B46" i="3"/>
  <c r="C46" i="3"/>
  <c r="F40" i="2"/>
  <c r="D34" i="3"/>
  <c r="R55" i="2" l="1"/>
  <c r="Q55" i="2"/>
  <c r="O49" i="3"/>
  <c r="H49" i="3"/>
  <c r="A168" i="3"/>
  <c r="K169" i="3"/>
  <c r="N58" i="7"/>
  <c r="J169" i="3" s="1"/>
  <c r="K58" i="7"/>
  <c r="N169" i="3" s="1"/>
  <c r="I58" i="7"/>
  <c r="L169" i="3" s="1"/>
  <c r="L58" i="7"/>
  <c r="O169" i="3" s="1"/>
  <c r="J58" i="7"/>
  <c r="M169" i="3" s="1"/>
  <c r="O55" i="2"/>
  <c r="K50" i="3" s="1"/>
  <c r="N55" i="2"/>
  <c r="J50" i="3" s="1"/>
  <c r="K55" i="2"/>
  <c r="N50" i="3" s="1"/>
  <c r="I55" i="2"/>
  <c r="L50" i="3" s="1"/>
  <c r="L55" i="2"/>
  <c r="J55" i="2"/>
  <c r="M50" i="3" s="1"/>
  <c r="Q50" i="3"/>
  <c r="P168" i="3"/>
  <c r="Q168" i="3"/>
  <c r="I168" i="3"/>
  <c r="M58" i="7"/>
  <c r="A58" i="7"/>
  <c r="D57" i="7"/>
  <c r="C168" i="3" s="1"/>
  <c r="D54" i="2"/>
  <c r="M55" i="2"/>
  <c r="I50" i="3" s="1"/>
  <c r="P50" i="3"/>
  <c r="A49" i="3"/>
  <c r="A55" i="2"/>
  <c r="B47" i="3"/>
  <c r="C47" i="3"/>
  <c r="H40" i="2"/>
  <c r="S40" i="2" s="1"/>
  <c r="G35" i="3"/>
  <c r="R56" i="2" l="1"/>
  <c r="Q51" i="3" s="1"/>
  <c r="Q56" i="2"/>
  <c r="O50" i="3"/>
  <c r="H50" i="3"/>
  <c r="A169" i="3"/>
  <c r="K170" i="3"/>
  <c r="N59" i="7"/>
  <c r="J170" i="3" s="1"/>
  <c r="K59" i="7"/>
  <c r="N170" i="3" s="1"/>
  <c r="I59" i="7"/>
  <c r="L170" i="3" s="1"/>
  <c r="L59" i="7"/>
  <c r="O170" i="3" s="1"/>
  <c r="J59" i="7"/>
  <c r="M170" i="3" s="1"/>
  <c r="O56" i="2"/>
  <c r="K51" i="3" s="1"/>
  <c r="N56" i="2"/>
  <c r="J51" i="3" s="1"/>
  <c r="K56" i="2"/>
  <c r="N51" i="3" s="1"/>
  <c r="I56" i="2"/>
  <c r="L51" i="3" s="1"/>
  <c r="L56" i="2"/>
  <c r="J56" i="2"/>
  <c r="M51" i="3" s="1"/>
  <c r="Q169" i="3"/>
  <c r="P169" i="3"/>
  <c r="I169" i="3"/>
  <c r="A59" i="7"/>
  <c r="R60" i="7" s="1"/>
  <c r="M59" i="7"/>
  <c r="D58" i="7"/>
  <c r="C169" i="3" s="1"/>
  <c r="D55" i="2"/>
  <c r="A56" i="2"/>
  <c r="P51" i="3"/>
  <c r="A50" i="3"/>
  <c r="M56" i="2"/>
  <c r="I51" i="3" s="1"/>
  <c r="B48" i="3"/>
  <c r="C48" i="3"/>
  <c r="E35" i="3"/>
  <c r="F35" i="3"/>
  <c r="E40" i="2"/>
  <c r="G41" i="2" s="1"/>
  <c r="R57" i="2" l="1"/>
  <c r="Q52" i="3" s="1"/>
  <c r="Q57" i="2"/>
  <c r="P52" i="3" s="1"/>
  <c r="O51" i="3"/>
  <c r="H51" i="3"/>
  <c r="A170" i="3"/>
  <c r="K171" i="3"/>
  <c r="N60" i="7"/>
  <c r="J171" i="3" s="1"/>
  <c r="K60" i="7"/>
  <c r="N171" i="3" s="1"/>
  <c r="I60" i="7"/>
  <c r="L171" i="3" s="1"/>
  <c r="L60" i="7"/>
  <c r="O171" i="3" s="1"/>
  <c r="J60" i="7"/>
  <c r="M171" i="3" s="1"/>
  <c r="O57" i="2"/>
  <c r="K52" i="3" s="1"/>
  <c r="N57" i="2"/>
  <c r="J52" i="3" s="1"/>
  <c r="K57" i="2"/>
  <c r="N52" i="3" s="1"/>
  <c r="I57" i="2"/>
  <c r="L52" i="3" s="1"/>
  <c r="L57" i="2"/>
  <c r="J57" i="2"/>
  <c r="M52" i="3" s="1"/>
  <c r="I170" i="3"/>
  <c r="A60" i="7"/>
  <c r="R61" i="7" s="1"/>
  <c r="D59" i="7"/>
  <c r="C170" i="3" s="1"/>
  <c r="M60" i="7"/>
  <c r="D56" i="2"/>
  <c r="A57" i="2"/>
  <c r="M57" i="2"/>
  <c r="I52" i="3" s="1"/>
  <c r="A51" i="3"/>
  <c r="B49" i="3"/>
  <c r="C49" i="3"/>
  <c r="F41" i="2"/>
  <c r="D35" i="3"/>
  <c r="R58" i="2" l="1"/>
  <c r="Q53" i="3" s="1"/>
  <c r="Q58" i="2"/>
  <c r="O52" i="3"/>
  <c r="H52" i="3"/>
  <c r="A171" i="3"/>
  <c r="K172" i="3"/>
  <c r="N61" i="7"/>
  <c r="J172" i="3" s="1"/>
  <c r="K61" i="7"/>
  <c r="N172" i="3" s="1"/>
  <c r="I61" i="7"/>
  <c r="L172" i="3" s="1"/>
  <c r="L61" i="7"/>
  <c r="O172" i="3" s="1"/>
  <c r="J61" i="7"/>
  <c r="M172" i="3" s="1"/>
  <c r="O58" i="2"/>
  <c r="K53" i="3" s="1"/>
  <c r="N58" i="2"/>
  <c r="J53" i="3" s="1"/>
  <c r="K58" i="2"/>
  <c r="N53" i="3" s="1"/>
  <c r="I58" i="2"/>
  <c r="L53" i="3" s="1"/>
  <c r="L58" i="2"/>
  <c r="J58" i="2"/>
  <c r="M53" i="3" s="1"/>
  <c r="P171" i="3"/>
  <c r="I171" i="3"/>
  <c r="Q171" i="3"/>
  <c r="A61" i="7"/>
  <c r="R62" i="7" s="1"/>
  <c r="D60" i="7"/>
  <c r="C171" i="3" s="1"/>
  <c r="M61" i="7"/>
  <c r="D57" i="2"/>
  <c r="A58" i="2"/>
  <c r="Q59" i="2" s="1"/>
  <c r="M58" i="2"/>
  <c r="I53" i="3" s="1"/>
  <c r="P53" i="3"/>
  <c r="A52" i="3"/>
  <c r="B50" i="3"/>
  <c r="C50" i="3"/>
  <c r="H41" i="2"/>
  <c r="S41" i="2" s="1"/>
  <c r="G36" i="3"/>
  <c r="O59" i="2" l="1"/>
  <c r="K54" i="3" s="1"/>
  <c r="O53" i="3"/>
  <c r="H53" i="3"/>
  <c r="A172" i="3"/>
  <c r="K173" i="3"/>
  <c r="N62" i="7"/>
  <c r="J173" i="3" s="1"/>
  <c r="K62" i="7"/>
  <c r="N173" i="3" s="1"/>
  <c r="I62" i="7"/>
  <c r="L173" i="3" s="1"/>
  <c r="L62" i="7"/>
  <c r="O173" i="3" s="1"/>
  <c r="J62" i="7"/>
  <c r="M173" i="3" s="1"/>
  <c r="N59" i="2"/>
  <c r="J54" i="3" s="1"/>
  <c r="K59" i="2"/>
  <c r="N54" i="3" s="1"/>
  <c r="I59" i="2"/>
  <c r="L54" i="3" s="1"/>
  <c r="L59" i="2"/>
  <c r="J59" i="2"/>
  <c r="M54" i="3" s="1"/>
  <c r="I172" i="3"/>
  <c r="Q172" i="3"/>
  <c r="P172" i="3"/>
  <c r="M62" i="7"/>
  <c r="A62" i="7"/>
  <c r="R63" i="7" s="1"/>
  <c r="D61" i="7"/>
  <c r="C172" i="3" s="1"/>
  <c r="D58" i="2"/>
  <c r="E36" i="3"/>
  <c r="A59" i="2"/>
  <c r="M59" i="2"/>
  <c r="I54" i="3" s="1"/>
  <c r="A53" i="3"/>
  <c r="C51" i="3"/>
  <c r="B51" i="3"/>
  <c r="F36" i="3"/>
  <c r="E41" i="2"/>
  <c r="G42" i="2" s="1"/>
  <c r="R60" i="2" l="1"/>
  <c r="Q60" i="2"/>
  <c r="O54" i="3"/>
  <c r="H54" i="3"/>
  <c r="A173" i="3"/>
  <c r="K174" i="3"/>
  <c r="N63" i="7"/>
  <c r="J174" i="3" s="1"/>
  <c r="K63" i="7"/>
  <c r="N174" i="3" s="1"/>
  <c r="I63" i="7"/>
  <c r="L174" i="3" s="1"/>
  <c r="L63" i="7"/>
  <c r="O174" i="3" s="1"/>
  <c r="J63" i="7"/>
  <c r="M174" i="3" s="1"/>
  <c r="O60" i="2"/>
  <c r="K55" i="3" s="1"/>
  <c r="N60" i="2"/>
  <c r="J55" i="3" s="1"/>
  <c r="K60" i="2"/>
  <c r="N55" i="3" s="1"/>
  <c r="I60" i="2"/>
  <c r="L55" i="3" s="1"/>
  <c r="L60" i="2"/>
  <c r="J60" i="2"/>
  <c r="M55" i="3" s="1"/>
  <c r="Q55" i="3"/>
  <c r="Q173" i="3"/>
  <c r="I173" i="3"/>
  <c r="P173" i="3"/>
  <c r="M63" i="7"/>
  <c r="D62" i="7"/>
  <c r="C173" i="3" s="1"/>
  <c r="A63" i="7"/>
  <c r="R64" i="7" s="1"/>
  <c r="D59" i="2"/>
  <c r="M60" i="2"/>
  <c r="I55" i="3" s="1"/>
  <c r="A54" i="3"/>
  <c r="A60" i="2"/>
  <c r="P55" i="3"/>
  <c r="C52" i="3"/>
  <c r="F42" i="2"/>
  <c r="B52" i="3" s="1"/>
  <c r="D36" i="3"/>
  <c r="R61" i="2" l="1"/>
  <c r="Q56" i="3" s="1"/>
  <c r="Q61" i="2"/>
  <c r="P56" i="3" s="1"/>
  <c r="O55" i="3"/>
  <c r="H55" i="3"/>
  <c r="A174" i="3"/>
  <c r="K175" i="3"/>
  <c r="N64" i="7"/>
  <c r="J175" i="3" s="1"/>
  <c r="K64" i="7"/>
  <c r="N175" i="3" s="1"/>
  <c r="I64" i="7"/>
  <c r="L175" i="3" s="1"/>
  <c r="L64" i="7"/>
  <c r="O175" i="3" s="1"/>
  <c r="J64" i="7"/>
  <c r="M175" i="3" s="1"/>
  <c r="O61" i="2"/>
  <c r="K56" i="3" s="1"/>
  <c r="N61" i="2"/>
  <c r="J56" i="3" s="1"/>
  <c r="K61" i="2"/>
  <c r="N56" i="3" s="1"/>
  <c r="I61" i="2"/>
  <c r="L56" i="3" s="1"/>
  <c r="L61" i="2"/>
  <c r="J61" i="2"/>
  <c r="M56" i="3" s="1"/>
  <c r="I174" i="3"/>
  <c r="P174" i="3"/>
  <c r="Q174" i="3"/>
  <c r="M64" i="7"/>
  <c r="D63" i="7"/>
  <c r="C174" i="3" s="1"/>
  <c r="A64" i="7"/>
  <c r="R65" i="7" s="1"/>
  <c r="D60" i="2"/>
  <c r="A61" i="2"/>
  <c r="M61" i="2"/>
  <c r="I56" i="3" s="1"/>
  <c r="A55" i="3"/>
  <c r="C53" i="3"/>
  <c r="H42" i="2"/>
  <c r="S42" i="2" s="1"/>
  <c r="G37" i="3"/>
  <c r="R62" i="2" l="1"/>
  <c r="Q57" i="3" s="1"/>
  <c r="Q62" i="2"/>
  <c r="P57" i="3" s="1"/>
  <c r="O56" i="3"/>
  <c r="H56" i="3"/>
  <c r="A175" i="3"/>
  <c r="K176" i="3"/>
  <c r="N65" i="7"/>
  <c r="J176" i="3" s="1"/>
  <c r="K65" i="7"/>
  <c r="N176" i="3" s="1"/>
  <c r="I65" i="7"/>
  <c r="L176" i="3" s="1"/>
  <c r="L65" i="7"/>
  <c r="O176" i="3" s="1"/>
  <c r="J65" i="7"/>
  <c r="M176" i="3" s="1"/>
  <c r="O62" i="2"/>
  <c r="K57" i="3" s="1"/>
  <c r="N62" i="2"/>
  <c r="J57" i="3" s="1"/>
  <c r="K62" i="2"/>
  <c r="N57" i="3" s="1"/>
  <c r="I62" i="2"/>
  <c r="L57" i="3" s="1"/>
  <c r="L62" i="2"/>
  <c r="J62" i="2"/>
  <c r="M57" i="3" s="1"/>
  <c r="P175" i="3"/>
  <c r="I175" i="3"/>
  <c r="Q175" i="3"/>
  <c r="M65" i="7"/>
  <c r="D64" i="7"/>
  <c r="C175" i="3" s="1"/>
  <c r="A65" i="7"/>
  <c r="R66" i="7" s="1"/>
  <c r="D61" i="2"/>
  <c r="E37" i="3"/>
  <c r="M62" i="2"/>
  <c r="I57" i="3" s="1"/>
  <c r="A56" i="3"/>
  <c r="A62" i="2"/>
  <c r="B54" i="3"/>
  <c r="C54" i="3"/>
  <c r="F37" i="3"/>
  <c r="E42" i="2"/>
  <c r="G43" i="2" s="1"/>
  <c r="R63" i="2" l="1"/>
  <c r="Q63" i="2"/>
  <c r="P58" i="3" s="1"/>
  <c r="O57" i="3"/>
  <c r="H57" i="3"/>
  <c r="A176" i="3"/>
  <c r="K177" i="3"/>
  <c r="N66" i="7"/>
  <c r="J177" i="3" s="1"/>
  <c r="K66" i="7"/>
  <c r="N177" i="3" s="1"/>
  <c r="I66" i="7"/>
  <c r="L177" i="3" s="1"/>
  <c r="L66" i="7"/>
  <c r="O177" i="3" s="1"/>
  <c r="J66" i="7"/>
  <c r="M177" i="3" s="1"/>
  <c r="O63" i="2"/>
  <c r="K58" i="3" s="1"/>
  <c r="N63" i="2"/>
  <c r="J58" i="3" s="1"/>
  <c r="K63" i="2"/>
  <c r="N58" i="3" s="1"/>
  <c r="I63" i="2"/>
  <c r="L58" i="3" s="1"/>
  <c r="L63" i="2"/>
  <c r="J63" i="2"/>
  <c r="M58" i="3" s="1"/>
  <c r="Q58" i="3"/>
  <c r="Q176" i="3"/>
  <c r="I176" i="3"/>
  <c r="P176" i="3"/>
  <c r="M66" i="7"/>
  <c r="A66" i="7"/>
  <c r="R67" i="7" s="1"/>
  <c r="D65" i="7"/>
  <c r="C176" i="3" s="1"/>
  <c r="D62" i="2"/>
  <c r="A63" i="2"/>
  <c r="M63" i="2"/>
  <c r="I58" i="3" s="1"/>
  <c r="A57" i="3"/>
  <c r="B55" i="3"/>
  <c r="C55" i="3"/>
  <c r="F43" i="2"/>
  <c r="B53" i="3" s="1"/>
  <c r="D37" i="3"/>
  <c r="R64" i="2" l="1"/>
  <c r="Q64" i="2"/>
  <c r="O58" i="3"/>
  <c r="H58" i="3"/>
  <c r="A177" i="3"/>
  <c r="K178" i="3"/>
  <c r="N67" i="7"/>
  <c r="J178" i="3" s="1"/>
  <c r="K67" i="7"/>
  <c r="N178" i="3" s="1"/>
  <c r="I67" i="7"/>
  <c r="L178" i="3" s="1"/>
  <c r="L67" i="7"/>
  <c r="O178" i="3" s="1"/>
  <c r="J67" i="7"/>
  <c r="M178" i="3" s="1"/>
  <c r="O64" i="2"/>
  <c r="K59" i="3" s="1"/>
  <c r="N64" i="2"/>
  <c r="J59" i="3" s="1"/>
  <c r="K64" i="2"/>
  <c r="N59" i="3" s="1"/>
  <c r="I64" i="2"/>
  <c r="L59" i="3" s="1"/>
  <c r="L64" i="2"/>
  <c r="J64" i="2"/>
  <c r="M59" i="3" s="1"/>
  <c r="Q59" i="3"/>
  <c r="P177" i="3"/>
  <c r="Q177" i="3"/>
  <c r="I177" i="3"/>
  <c r="M67" i="7"/>
  <c r="A67" i="7"/>
  <c r="R68" i="7" s="1"/>
  <c r="D66" i="7"/>
  <c r="C177" i="3" s="1"/>
  <c r="D63" i="2"/>
  <c r="A64" i="2"/>
  <c r="M64" i="2"/>
  <c r="I59" i="3" s="1"/>
  <c r="A58" i="3"/>
  <c r="P59" i="3"/>
  <c r="B56" i="3"/>
  <c r="C56" i="3"/>
  <c r="H43" i="2"/>
  <c r="S43" i="2" s="1"/>
  <c r="G38" i="3"/>
  <c r="R65" i="2" l="1"/>
  <c r="Q65" i="2"/>
  <c r="P60" i="3" s="1"/>
  <c r="O59" i="3"/>
  <c r="H59" i="3"/>
  <c r="A178" i="3"/>
  <c r="K179" i="3"/>
  <c r="N68" i="7"/>
  <c r="J179" i="3" s="1"/>
  <c r="K68" i="7"/>
  <c r="N179" i="3" s="1"/>
  <c r="I68" i="7"/>
  <c r="L179" i="3" s="1"/>
  <c r="L68" i="7"/>
  <c r="O179" i="3" s="1"/>
  <c r="J68" i="7"/>
  <c r="M179" i="3" s="1"/>
  <c r="O65" i="2"/>
  <c r="K60" i="3" s="1"/>
  <c r="N65" i="2"/>
  <c r="J60" i="3" s="1"/>
  <c r="K65" i="2"/>
  <c r="N60" i="3" s="1"/>
  <c r="I65" i="2"/>
  <c r="L60" i="3" s="1"/>
  <c r="L65" i="2"/>
  <c r="J65" i="2"/>
  <c r="M60" i="3" s="1"/>
  <c r="Q60" i="3"/>
  <c r="I178" i="3"/>
  <c r="Q178" i="3"/>
  <c r="P178" i="3"/>
  <c r="M68" i="7"/>
  <c r="A68" i="7"/>
  <c r="R69" i="7" s="1"/>
  <c r="D67" i="7"/>
  <c r="C178" i="3" s="1"/>
  <c r="D64" i="2"/>
  <c r="E38" i="3"/>
  <c r="A65" i="2"/>
  <c r="M65" i="2"/>
  <c r="I60" i="3" s="1"/>
  <c r="A59" i="3"/>
  <c r="B57" i="3"/>
  <c r="C57" i="3"/>
  <c r="F38" i="3"/>
  <c r="E43" i="2"/>
  <c r="G44" i="2" s="1"/>
  <c r="R66" i="2" l="1"/>
  <c r="Q66" i="2"/>
  <c r="O60" i="3"/>
  <c r="H60" i="3"/>
  <c r="A179" i="3"/>
  <c r="K180" i="3"/>
  <c r="N69" i="7"/>
  <c r="J180" i="3" s="1"/>
  <c r="K69" i="7"/>
  <c r="N180" i="3" s="1"/>
  <c r="I69" i="7"/>
  <c r="L180" i="3" s="1"/>
  <c r="L69" i="7"/>
  <c r="O180" i="3" s="1"/>
  <c r="J69" i="7"/>
  <c r="M180" i="3" s="1"/>
  <c r="O66" i="2"/>
  <c r="K61" i="3" s="1"/>
  <c r="N66" i="2"/>
  <c r="J61" i="3" s="1"/>
  <c r="K66" i="2"/>
  <c r="N61" i="3" s="1"/>
  <c r="I66" i="2"/>
  <c r="L61" i="3" s="1"/>
  <c r="L66" i="2"/>
  <c r="J66" i="2"/>
  <c r="M61" i="3" s="1"/>
  <c r="Q61" i="3"/>
  <c r="P179" i="3"/>
  <c r="I179" i="3"/>
  <c r="Q179" i="3"/>
  <c r="M69" i="7"/>
  <c r="A69" i="7"/>
  <c r="R70" i="7" s="1"/>
  <c r="D68" i="7"/>
  <c r="C179" i="3" s="1"/>
  <c r="D65" i="2"/>
  <c r="A66" i="2"/>
  <c r="P61" i="3"/>
  <c r="M66" i="2"/>
  <c r="I61" i="3" s="1"/>
  <c r="A60" i="3"/>
  <c r="B58" i="3"/>
  <c r="C58" i="3"/>
  <c r="F44" i="2"/>
  <c r="D38" i="3"/>
  <c r="R67" i="2" l="1"/>
  <c r="Q67" i="2"/>
  <c r="O61" i="3"/>
  <c r="H61" i="3"/>
  <c r="A180" i="3"/>
  <c r="K181" i="3"/>
  <c r="N70" i="7"/>
  <c r="J181" i="3" s="1"/>
  <c r="K70" i="7"/>
  <c r="N181" i="3" s="1"/>
  <c r="I70" i="7"/>
  <c r="L181" i="3" s="1"/>
  <c r="L70" i="7"/>
  <c r="O181" i="3" s="1"/>
  <c r="J70" i="7"/>
  <c r="M181" i="3" s="1"/>
  <c r="O67" i="2"/>
  <c r="K62" i="3" s="1"/>
  <c r="N67" i="2"/>
  <c r="J62" i="3" s="1"/>
  <c r="K67" i="2"/>
  <c r="N62" i="3" s="1"/>
  <c r="I67" i="2"/>
  <c r="L62" i="3" s="1"/>
  <c r="L67" i="2"/>
  <c r="J67" i="2"/>
  <c r="M62" i="3" s="1"/>
  <c r="Q62" i="3"/>
  <c r="I180" i="3"/>
  <c r="P180" i="3"/>
  <c r="Q180" i="3"/>
  <c r="M70" i="7"/>
  <c r="A70" i="7"/>
  <c r="D69" i="7"/>
  <c r="C180" i="3" s="1"/>
  <c r="D66" i="2"/>
  <c r="A67" i="2"/>
  <c r="M67" i="2"/>
  <c r="I62" i="3" s="1"/>
  <c r="P62" i="3"/>
  <c r="A61" i="3"/>
  <c r="B59" i="3"/>
  <c r="C59" i="3"/>
  <c r="H44" i="2"/>
  <c r="S44" i="2" s="1"/>
  <c r="G39" i="3"/>
  <c r="R68" i="2" l="1"/>
  <c r="Q63" i="3" s="1"/>
  <c r="Q68" i="2"/>
  <c r="P63" i="3" s="1"/>
  <c r="O62" i="3"/>
  <c r="H62" i="3"/>
  <c r="A181" i="3"/>
  <c r="K182" i="3"/>
  <c r="N71" i="7"/>
  <c r="J182" i="3" s="1"/>
  <c r="K71" i="7"/>
  <c r="N182" i="3" s="1"/>
  <c r="I71" i="7"/>
  <c r="L182" i="3" s="1"/>
  <c r="L71" i="7"/>
  <c r="O182" i="3" s="1"/>
  <c r="J71" i="7"/>
  <c r="M182" i="3" s="1"/>
  <c r="O68" i="2"/>
  <c r="K63" i="3" s="1"/>
  <c r="N68" i="2"/>
  <c r="J63" i="3" s="1"/>
  <c r="K68" i="2"/>
  <c r="N63" i="3" s="1"/>
  <c r="I68" i="2"/>
  <c r="L63" i="3" s="1"/>
  <c r="L68" i="2"/>
  <c r="J68" i="2"/>
  <c r="M63" i="3" s="1"/>
  <c r="Q181" i="3"/>
  <c r="P181" i="3"/>
  <c r="I181" i="3"/>
  <c r="A71" i="7"/>
  <c r="R72" i="7" s="1"/>
  <c r="D70" i="7"/>
  <c r="C181" i="3" s="1"/>
  <c r="M71" i="7"/>
  <c r="D67" i="2"/>
  <c r="E39" i="3"/>
  <c r="A68" i="2"/>
  <c r="M68" i="2"/>
  <c r="I63" i="3" s="1"/>
  <c r="A62" i="3"/>
  <c r="B60" i="3"/>
  <c r="C60" i="3"/>
  <c r="F39" i="3"/>
  <c r="E44" i="2"/>
  <c r="G45" i="2" s="1"/>
  <c r="R69" i="2" l="1"/>
  <c r="Q64" i="3" s="1"/>
  <c r="Q69" i="2"/>
  <c r="P64" i="3" s="1"/>
  <c r="O63" i="3"/>
  <c r="H63" i="3"/>
  <c r="A182" i="3"/>
  <c r="K183" i="3"/>
  <c r="N72" i="7"/>
  <c r="J183" i="3" s="1"/>
  <c r="K72" i="7"/>
  <c r="N183" i="3" s="1"/>
  <c r="I72" i="7"/>
  <c r="L183" i="3" s="1"/>
  <c r="L72" i="7"/>
  <c r="O183" i="3" s="1"/>
  <c r="J72" i="7"/>
  <c r="M183" i="3" s="1"/>
  <c r="O69" i="2"/>
  <c r="K64" i="3" s="1"/>
  <c r="N69" i="2"/>
  <c r="J64" i="3" s="1"/>
  <c r="K69" i="2"/>
  <c r="N64" i="3" s="1"/>
  <c r="I69" i="2"/>
  <c r="L64" i="3" s="1"/>
  <c r="L69" i="2"/>
  <c r="J69" i="2"/>
  <c r="M64" i="3" s="1"/>
  <c r="I182" i="3"/>
  <c r="A72" i="7"/>
  <c r="R73" i="7" s="1"/>
  <c r="D71" i="7"/>
  <c r="C182" i="3" s="1"/>
  <c r="M72" i="7"/>
  <c r="D68" i="2"/>
  <c r="A69" i="2"/>
  <c r="M69" i="2"/>
  <c r="I64" i="3" s="1"/>
  <c r="A63" i="3"/>
  <c r="B61" i="3"/>
  <c r="C61" i="3"/>
  <c r="F45" i="2"/>
  <c r="D39" i="3"/>
  <c r="R70" i="2" l="1"/>
  <c r="Q65" i="3" s="1"/>
  <c r="Q70" i="2"/>
  <c r="P65" i="3" s="1"/>
  <c r="O64" i="3"/>
  <c r="H64" i="3"/>
  <c r="A183" i="3"/>
  <c r="K184" i="3"/>
  <c r="N73" i="7"/>
  <c r="J184" i="3" s="1"/>
  <c r="K73" i="7"/>
  <c r="N184" i="3" s="1"/>
  <c r="I73" i="7"/>
  <c r="L184" i="3" s="1"/>
  <c r="L73" i="7"/>
  <c r="O184" i="3" s="1"/>
  <c r="J73" i="7"/>
  <c r="M184" i="3" s="1"/>
  <c r="O70" i="2"/>
  <c r="K65" i="3" s="1"/>
  <c r="N70" i="2"/>
  <c r="J65" i="3" s="1"/>
  <c r="K70" i="2"/>
  <c r="N65" i="3" s="1"/>
  <c r="I70" i="2"/>
  <c r="L65" i="3" s="1"/>
  <c r="L70" i="2"/>
  <c r="J70" i="2"/>
  <c r="M65" i="3" s="1"/>
  <c r="I183" i="3"/>
  <c r="P183" i="3"/>
  <c r="Q183" i="3"/>
  <c r="P158" i="3"/>
  <c r="A73" i="7"/>
  <c r="R74" i="7" s="1"/>
  <c r="D72" i="7"/>
  <c r="C183" i="3" s="1"/>
  <c r="M73" i="7"/>
  <c r="D69" i="2"/>
  <c r="A70" i="2"/>
  <c r="Q71" i="2" s="1"/>
  <c r="M70" i="2"/>
  <c r="I65" i="3" s="1"/>
  <c r="A64" i="3"/>
  <c r="B62" i="3"/>
  <c r="C62" i="3"/>
  <c r="H45" i="2"/>
  <c r="S45" i="2" s="1"/>
  <c r="G40" i="3"/>
  <c r="O71" i="2" l="1"/>
  <c r="K66" i="3" s="1"/>
  <c r="O65" i="3"/>
  <c r="H65" i="3"/>
  <c r="A184" i="3"/>
  <c r="K185" i="3"/>
  <c r="N74" i="7"/>
  <c r="J185" i="3" s="1"/>
  <c r="K74" i="7"/>
  <c r="N185" i="3" s="1"/>
  <c r="I74" i="7"/>
  <c r="L185" i="3" s="1"/>
  <c r="L74" i="7"/>
  <c r="O185" i="3" s="1"/>
  <c r="J74" i="7"/>
  <c r="M185" i="3" s="1"/>
  <c r="N71" i="2"/>
  <c r="J66" i="3" s="1"/>
  <c r="K71" i="2"/>
  <c r="N66" i="3" s="1"/>
  <c r="I71" i="2"/>
  <c r="L66" i="3" s="1"/>
  <c r="L71" i="2"/>
  <c r="J71" i="2"/>
  <c r="M66" i="3" s="1"/>
  <c r="Q184" i="3"/>
  <c r="I184" i="3"/>
  <c r="P184" i="3"/>
  <c r="Q158" i="3"/>
  <c r="M74" i="7"/>
  <c r="A74" i="7"/>
  <c r="R75" i="7" s="1"/>
  <c r="D73" i="7"/>
  <c r="C184" i="3" s="1"/>
  <c r="D70" i="2"/>
  <c r="E40" i="3"/>
  <c r="M71" i="2"/>
  <c r="I66" i="3" s="1"/>
  <c r="A65" i="3"/>
  <c r="A71" i="2"/>
  <c r="B63" i="3"/>
  <c r="C63" i="3"/>
  <c r="F40" i="3"/>
  <c r="E45" i="2"/>
  <c r="G46" i="2" s="1"/>
  <c r="R72" i="2" l="1"/>
  <c r="Q67" i="3" s="1"/>
  <c r="Q72" i="2"/>
  <c r="O66" i="3"/>
  <c r="H66" i="3"/>
  <c r="A185" i="3"/>
  <c r="K186" i="3"/>
  <c r="N75" i="7"/>
  <c r="J186" i="3" s="1"/>
  <c r="K75" i="7"/>
  <c r="N186" i="3" s="1"/>
  <c r="I75" i="7"/>
  <c r="L186" i="3" s="1"/>
  <c r="L75" i="7"/>
  <c r="O186" i="3" s="1"/>
  <c r="J75" i="7"/>
  <c r="M186" i="3" s="1"/>
  <c r="O72" i="2"/>
  <c r="K67" i="3" s="1"/>
  <c r="N72" i="2"/>
  <c r="J67" i="3" s="1"/>
  <c r="K72" i="2"/>
  <c r="N67" i="3" s="1"/>
  <c r="I72" i="2"/>
  <c r="L67" i="3" s="1"/>
  <c r="L72" i="2"/>
  <c r="J72" i="2"/>
  <c r="M67" i="3" s="1"/>
  <c r="I185" i="3"/>
  <c r="P185" i="3"/>
  <c r="Q185" i="3"/>
  <c r="M75" i="7"/>
  <c r="D74" i="7"/>
  <c r="C185" i="3" s="1"/>
  <c r="A75" i="7"/>
  <c r="R76" i="7" s="1"/>
  <c r="F46" i="2"/>
  <c r="D71" i="2"/>
  <c r="A72" i="2"/>
  <c r="P67" i="3"/>
  <c r="M72" i="2"/>
  <c r="I67" i="3" s="1"/>
  <c r="A66" i="3"/>
  <c r="B64" i="3"/>
  <c r="C64" i="3"/>
  <c r="D40" i="3"/>
  <c r="R73" i="2" l="1"/>
  <c r="Q73" i="2"/>
  <c r="P68" i="3" s="1"/>
  <c r="O67" i="3"/>
  <c r="H67" i="3"/>
  <c r="A186" i="3"/>
  <c r="K187" i="3"/>
  <c r="N76" i="7"/>
  <c r="J187" i="3" s="1"/>
  <c r="K76" i="7"/>
  <c r="N187" i="3" s="1"/>
  <c r="I76" i="7"/>
  <c r="L187" i="3" s="1"/>
  <c r="L76" i="7"/>
  <c r="O187" i="3" s="1"/>
  <c r="J76" i="7"/>
  <c r="M187" i="3" s="1"/>
  <c r="O73" i="2"/>
  <c r="K68" i="3" s="1"/>
  <c r="N73" i="2"/>
  <c r="J68" i="3" s="1"/>
  <c r="K73" i="2"/>
  <c r="N68" i="3" s="1"/>
  <c r="I73" i="2"/>
  <c r="L68" i="3" s="1"/>
  <c r="L73" i="2"/>
  <c r="J73" i="2"/>
  <c r="M68" i="3" s="1"/>
  <c r="Q68" i="3"/>
  <c r="Q186" i="3"/>
  <c r="I186" i="3"/>
  <c r="P186" i="3"/>
  <c r="M76" i="7"/>
  <c r="A76" i="7"/>
  <c r="R77" i="7" s="1"/>
  <c r="D75" i="7"/>
  <c r="C186" i="3" s="1"/>
  <c r="D72" i="2"/>
  <c r="A73" i="2"/>
  <c r="M73" i="2"/>
  <c r="I68" i="3" s="1"/>
  <c r="A67" i="3"/>
  <c r="E46" i="2"/>
  <c r="G47" i="2" s="1"/>
  <c r="B65" i="3"/>
  <c r="C65" i="3"/>
  <c r="H46" i="2"/>
  <c r="G41" i="3"/>
  <c r="R74" i="2" l="1"/>
  <c r="Q69" i="3" s="1"/>
  <c r="Q74" i="2"/>
  <c r="P69" i="3" s="1"/>
  <c r="S46" i="2"/>
  <c r="Q47" i="2" s="1"/>
  <c r="P42" i="3" s="1"/>
  <c r="O68" i="3"/>
  <c r="H68" i="3"/>
  <c r="A187" i="3"/>
  <c r="K188" i="3"/>
  <c r="L77" i="7"/>
  <c r="O188" i="3" s="1"/>
  <c r="N77" i="7"/>
  <c r="J188" i="3" s="1"/>
  <c r="K77" i="7"/>
  <c r="N188" i="3" s="1"/>
  <c r="I77" i="7"/>
  <c r="L188" i="3" s="1"/>
  <c r="J77" i="7"/>
  <c r="M188" i="3" s="1"/>
  <c r="O74" i="2"/>
  <c r="K69" i="3" s="1"/>
  <c r="N74" i="2"/>
  <c r="J69" i="3" s="1"/>
  <c r="K74" i="2"/>
  <c r="N69" i="3" s="1"/>
  <c r="I74" i="2"/>
  <c r="L69" i="3" s="1"/>
  <c r="L74" i="2"/>
  <c r="J74" i="2"/>
  <c r="M69" i="3" s="1"/>
  <c r="I187" i="3"/>
  <c r="P187" i="3"/>
  <c r="Q187" i="3"/>
  <c r="M77" i="7"/>
  <c r="A77" i="7"/>
  <c r="R78" i="7" s="1"/>
  <c r="D76" i="7"/>
  <c r="C187" i="3" s="1"/>
  <c r="D41" i="3"/>
  <c r="D73" i="2"/>
  <c r="F41" i="3"/>
  <c r="M74" i="2"/>
  <c r="I69" i="3" s="1"/>
  <c r="A68" i="3"/>
  <c r="A74" i="2"/>
  <c r="B66" i="3"/>
  <c r="C66" i="3"/>
  <c r="E41" i="3"/>
  <c r="R75" i="2" l="1"/>
  <c r="Q70" i="3" s="1"/>
  <c r="Q75" i="2"/>
  <c r="P70" i="3" s="1"/>
  <c r="O69" i="3"/>
  <c r="H69" i="3"/>
  <c r="A188" i="3"/>
  <c r="K189" i="3"/>
  <c r="L78" i="7"/>
  <c r="O189" i="3" s="1"/>
  <c r="J78" i="7"/>
  <c r="M189" i="3" s="1"/>
  <c r="N78" i="7"/>
  <c r="J189" i="3" s="1"/>
  <c r="K78" i="7"/>
  <c r="N189" i="3" s="1"/>
  <c r="I78" i="7"/>
  <c r="L189" i="3" s="1"/>
  <c r="O75" i="2"/>
  <c r="K70" i="3" s="1"/>
  <c r="N75" i="2"/>
  <c r="J70" i="3" s="1"/>
  <c r="K75" i="2"/>
  <c r="N70" i="3" s="1"/>
  <c r="I75" i="2"/>
  <c r="L70" i="3" s="1"/>
  <c r="L75" i="2"/>
  <c r="J75" i="2"/>
  <c r="M70" i="3" s="1"/>
  <c r="I188" i="3"/>
  <c r="P188" i="3"/>
  <c r="Q188" i="3"/>
  <c r="M78" i="7"/>
  <c r="A78" i="7"/>
  <c r="R79" i="7" s="1"/>
  <c r="D77" i="7"/>
  <c r="C188" i="3" s="1"/>
  <c r="D74" i="2"/>
  <c r="F47" i="2"/>
  <c r="R47" i="2" s="1"/>
  <c r="G42" i="3"/>
  <c r="A75" i="2"/>
  <c r="M75" i="2"/>
  <c r="I70" i="3" s="1"/>
  <c r="A69" i="3"/>
  <c r="B67" i="3"/>
  <c r="C67" i="3"/>
  <c r="R76" i="2" l="1"/>
  <c r="Q71" i="3" s="1"/>
  <c r="Q76" i="2"/>
  <c r="P71" i="3" s="1"/>
  <c r="O70" i="3"/>
  <c r="H70" i="3"/>
  <c r="A189" i="3"/>
  <c r="K190" i="3"/>
  <c r="L79" i="7"/>
  <c r="O190" i="3" s="1"/>
  <c r="J79" i="7"/>
  <c r="M190" i="3" s="1"/>
  <c r="N79" i="7"/>
  <c r="J190" i="3" s="1"/>
  <c r="K79" i="7"/>
  <c r="N190" i="3" s="1"/>
  <c r="I79" i="7"/>
  <c r="L190" i="3" s="1"/>
  <c r="Q42" i="3"/>
  <c r="O76" i="2"/>
  <c r="K71" i="3" s="1"/>
  <c r="N76" i="2"/>
  <c r="J71" i="3" s="1"/>
  <c r="K76" i="2"/>
  <c r="N71" i="3" s="1"/>
  <c r="I76" i="2"/>
  <c r="L71" i="3" s="1"/>
  <c r="L76" i="2"/>
  <c r="J76" i="2"/>
  <c r="M71" i="3" s="1"/>
  <c r="P189" i="3"/>
  <c r="Q189" i="3"/>
  <c r="I189" i="3"/>
  <c r="M79" i="7"/>
  <c r="D78" i="7"/>
  <c r="C189" i="3" s="1"/>
  <c r="A79" i="7"/>
  <c r="R80" i="7" s="1"/>
  <c r="D75" i="2"/>
  <c r="E47" i="2"/>
  <c r="G48" i="2" s="1"/>
  <c r="H47" i="2"/>
  <c r="F42" i="3"/>
  <c r="A76" i="2"/>
  <c r="M76" i="2"/>
  <c r="I71" i="3" s="1"/>
  <c r="A70" i="3"/>
  <c r="B68" i="3"/>
  <c r="C68" i="3"/>
  <c r="R77" i="2" l="1"/>
  <c r="Q77" i="2"/>
  <c r="P72" i="3" s="1"/>
  <c r="S47" i="2"/>
  <c r="O71" i="3"/>
  <c r="H71" i="3"/>
  <c r="A190" i="3"/>
  <c r="K191" i="3"/>
  <c r="L80" i="7"/>
  <c r="O191" i="3" s="1"/>
  <c r="J80" i="7"/>
  <c r="M191" i="3" s="1"/>
  <c r="N80" i="7"/>
  <c r="J191" i="3" s="1"/>
  <c r="K80" i="7"/>
  <c r="N191" i="3" s="1"/>
  <c r="I80" i="7"/>
  <c r="L191" i="3" s="1"/>
  <c r="O77" i="2"/>
  <c r="K72" i="3" s="1"/>
  <c r="L77" i="2"/>
  <c r="N77" i="2"/>
  <c r="J72" i="3" s="1"/>
  <c r="K77" i="2"/>
  <c r="N72" i="3" s="1"/>
  <c r="I77" i="2"/>
  <c r="L72" i="3" s="1"/>
  <c r="J77" i="2"/>
  <c r="M72" i="3" s="1"/>
  <c r="Q72" i="3"/>
  <c r="I190" i="3"/>
  <c r="Q190" i="3"/>
  <c r="P190" i="3"/>
  <c r="M80" i="7"/>
  <c r="D79" i="7"/>
  <c r="C190" i="3" s="1"/>
  <c r="A80" i="7"/>
  <c r="R81" i="7" s="1"/>
  <c r="E42" i="3"/>
  <c r="P43" i="3"/>
  <c r="D76" i="2"/>
  <c r="D42" i="3"/>
  <c r="A77" i="2"/>
  <c r="M77" i="2"/>
  <c r="I72" i="3" s="1"/>
  <c r="A71" i="3"/>
  <c r="B69" i="3"/>
  <c r="C69" i="3"/>
  <c r="R78" i="2" l="1"/>
  <c r="Q78" i="2"/>
  <c r="P73" i="3" s="1"/>
  <c r="O72" i="3"/>
  <c r="H72" i="3"/>
  <c r="A191" i="3"/>
  <c r="K192" i="3"/>
  <c r="L81" i="7"/>
  <c r="O192" i="3" s="1"/>
  <c r="J81" i="7"/>
  <c r="M192" i="3" s="1"/>
  <c r="N81" i="7"/>
  <c r="J192" i="3" s="1"/>
  <c r="K81" i="7"/>
  <c r="N192" i="3" s="1"/>
  <c r="I81" i="7"/>
  <c r="L192" i="3" s="1"/>
  <c r="O78" i="2"/>
  <c r="K73" i="3" s="1"/>
  <c r="L78" i="2"/>
  <c r="J78" i="2"/>
  <c r="M73" i="3" s="1"/>
  <c r="N78" i="2"/>
  <c r="J73" i="3" s="1"/>
  <c r="K78" i="2"/>
  <c r="N73" i="3" s="1"/>
  <c r="I78" i="2"/>
  <c r="L73" i="3" s="1"/>
  <c r="Q73" i="3"/>
  <c r="I191" i="3"/>
  <c r="P191" i="3"/>
  <c r="Q191" i="3"/>
  <c r="M81" i="7"/>
  <c r="D80" i="7"/>
  <c r="C191" i="3" s="1"/>
  <c r="A81" i="7"/>
  <c r="R82" i="7" s="1"/>
  <c r="F48" i="2"/>
  <c r="D77" i="2"/>
  <c r="G43" i="3"/>
  <c r="A78" i="2"/>
  <c r="M78" i="2"/>
  <c r="I73" i="3" s="1"/>
  <c r="A72" i="3"/>
  <c r="B70" i="3"/>
  <c r="C70" i="3"/>
  <c r="R79" i="2" l="1"/>
  <c r="Q74" i="3" s="1"/>
  <c r="Q79" i="2"/>
  <c r="P74" i="3" s="1"/>
  <c r="O73" i="3"/>
  <c r="H73" i="3"/>
  <c r="A192" i="3"/>
  <c r="K193" i="3"/>
  <c r="L82" i="7"/>
  <c r="O193" i="3" s="1"/>
  <c r="J82" i="7"/>
  <c r="M193" i="3" s="1"/>
  <c r="N82" i="7"/>
  <c r="J193" i="3" s="1"/>
  <c r="K82" i="7"/>
  <c r="N193" i="3" s="1"/>
  <c r="I82" i="7"/>
  <c r="L193" i="3" s="1"/>
  <c r="O79" i="2"/>
  <c r="K74" i="3" s="1"/>
  <c r="L79" i="2"/>
  <c r="J79" i="2"/>
  <c r="M74" i="3" s="1"/>
  <c r="N79" i="2"/>
  <c r="J74" i="3" s="1"/>
  <c r="K79" i="2"/>
  <c r="N74" i="3" s="1"/>
  <c r="I79" i="2"/>
  <c r="L74" i="3" s="1"/>
  <c r="Q192" i="3"/>
  <c r="P192" i="3"/>
  <c r="I192" i="3"/>
  <c r="M82" i="7"/>
  <c r="A82" i="7"/>
  <c r="D81" i="7"/>
  <c r="C192" i="3" s="1"/>
  <c r="D78" i="2"/>
  <c r="F43" i="3"/>
  <c r="H48" i="2"/>
  <c r="E48" i="2"/>
  <c r="G49" i="2" s="1"/>
  <c r="A79" i="2"/>
  <c r="M79" i="2"/>
  <c r="I74" i="3" s="1"/>
  <c r="A73" i="3"/>
  <c r="B71" i="3"/>
  <c r="C71" i="3"/>
  <c r="R80" i="2" l="1"/>
  <c r="Q80" i="2"/>
  <c r="P75" i="3" s="1"/>
  <c r="E43" i="3"/>
  <c r="S48" i="2"/>
  <c r="O74" i="3"/>
  <c r="H74" i="3"/>
  <c r="A193" i="3"/>
  <c r="K194" i="3"/>
  <c r="L83" i="7"/>
  <c r="O194" i="3" s="1"/>
  <c r="J83" i="7"/>
  <c r="M194" i="3" s="1"/>
  <c r="N83" i="7"/>
  <c r="J194" i="3" s="1"/>
  <c r="K83" i="7"/>
  <c r="N194" i="3" s="1"/>
  <c r="I83" i="7"/>
  <c r="L194" i="3" s="1"/>
  <c r="O80" i="2"/>
  <c r="K75" i="3" s="1"/>
  <c r="L80" i="2"/>
  <c r="J80" i="2"/>
  <c r="M75" i="3" s="1"/>
  <c r="N80" i="2"/>
  <c r="J75" i="3" s="1"/>
  <c r="K80" i="2"/>
  <c r="N75" i="3" s="1"/>
  <c r="I80" i="2"/>
  <c r="L75" i="3" s="1"/>
  <c r="Q75" i="3"/>
  <c r="I193" i="3"/>
  <c r="P193" i="3"/>
  <c r="Q193" i="3"/>
  <c r="D82" i="7"/>
  <c r="C193" i="3" s="1"/>
  <c r="M83" i="7"/>
  <c r="A83" i="7"/>
  <c r="R84" i="7" s="1"/>
  <c r="D79" i="2"/>
  <c r="D43" i="3"/>
  <c r="F49" i="2"/>
  <c r="M80" i="2"/>
  <c r="I75" i="3" s="1"/>
  <c r="A74" i="3"/>
  <c r="A80" i="2"/>
  <c r="B72" i="3"/>
  <c r="C72" i="3"/>
  <c r="R81" i="2" l="1"/>
  <c r="Q76" i="3" s="1"/>
  <c r="Q81" i="2"/>
  <c r="P76" i="3" s="1"/>
  <c r="O75" i="3"/>
  <c r="H75" i="3"/>
  <c r="A194" i="3"/>
  <c r="K195" i="3"/>
  <c r="L84" i="7"/>
  <c r="O195" i="3" s="1"/>
  <c r="J84" i="7"/>
  <c r="M195" i="3" s="1"/>
  <c r="N84" i="7"/>
  <c r="J195" i="3" s="1"/>
  <c r="K84" i="7"/>
  <c r="N195" i="3" s="1"/>
  <c r="I84" i="7"/>
  <c r="L195" i="3" s="1"/>
  <c r="O81" i="2"/>
  <c r="K76" i="3" s="1"/>
  <c r="L81" i="2"/>
  <c r="J81" i="2"/>
  <c r="M76" i="3" s="1"/>
  <c r="N81" i="2"/>
  <c r="J76" i="3" s="1"/>
  <c r="K81" i="2"/>
  <c r="N76" i="3" s="1"/>
  <c r="I81" i="2"/>
  <c r="L76" i="3" s="1"/>
  <c r="I194" i="3"/>
  <c r="M84" i="7"/>
  <c r="A84" i="7"/>
  <c r="R85" i="7" s="1"/>
  <c r="D83" i="7"/>
  <c r="C194" i="3" s="1"/>
  <c r="D80" i="2"/>
  <c r="G44" i="3"/>
  <c r="A81" i="2"/>
  <c r="M81" i="2"/>
  <c r="I76" i="3" s="1"/>
  <c r="A75" i="3"/>
  <c r="B73" i="3"/>
  <c r="C73" i="3"/>
  <c r="R82" i="2" l="1"/>
  <c r="Q77" i="3" s="1"/>
  <c r="Q82" i="2"/>
  <c r="O76" i="3"/>
  <c r="H76" i="3"/>
  <c r="A195" i="3"/>
  <c r="K196" i="3"/>
  <c r="L85" i="7"/>
  <c r="O196" i="3" s="1"/>
  <c r="J85" i="7"/>
  <c r="M196" i="3" s="1"/>
  <c r="N85" i="7"/>
  <c r="J196" i="3" s="1"/>
  <c r="K85" i="7"/>
  <c r="N196" i="3" s="1"/>
  <c r="I85" i="7"/>
  <c r="L196" i="3" s="1"/>
  <c r="O82" i="2"/>
  <c r="K77" i="3" s="1"/>
  <c r="L82" i="2"/>
  <c r="J82" i="2"/>
  <c r="M77" i="3" s="1"/>
  <c r="N82" i="2"/>
  <c r="J77" i="3" s="1"/>
  <c r="K82" i="2"/>
  <c r="N77" i="3" s="1"/>
  <c r="I82" i="2"/>
  <c r="L77" i="3" s="1"/>
  <c r="Q195" i="3"/>
  <c r="P195" i="3"/>
  <c r="I195" i="3"/>
  <c r="M85" i="7"/>
  <c r="A85" i="7"/>
  <c r="R86" i="7" s="1"/>
  <c r="D84" i="7"/>
  <c r="C195" i="3" s="1"/>
  <c r="D81" i="2"/>
  <c r="H49" i="2"/>
  <c r="E49" i="2"/>
  <c r="G50" i="2" s="1"/>
  <c r="F44" i="3"/>
  <c r="A82" i="2"/>
  <c r="Q83" i="2" s="1"/>
  <c r="P77" i="3"/>
  <c r="M82" i="2"/>
  <c r="I77" i="3" s="1"/>
  <c r="A76" i="3"/>
  <c r="C74" i="3"/>
  <c r="B74" i="3"/>
  <c r="O83" i="2" l="1"/>
  <c r="K78" i="3" s="1"/>
  <c r="E44" i="3"/>
  <c r="S49" i="2"/>
  <c r="O77" i="3"/>
  <c r="H77" i="3"/>
  <c r="A196" i="3"/>
  <c r="K197" i="3"/>
  <c r="L86" i="7"/>
  <c r="O197" i="3" s="1"/>
  <c r="J86" i="7"/>
  <c r="M197" i="3" s="1"/>
  <c r="N86" i="7"/>
  <c r="J197" i="3" s="1"/>
  <c r="K86" i="7"/>
  <c r="N197" i="3" s="1"/>
  <c r="I86" i="7"/>
  <c r="L197" i="3" s="1"/>
  <c r="L83" i="2"/>
  <c r="J83" i="2"/>
  <c r="M78" i="3" s="1"/>
  <c r="N83" i="2"/>
  <c r="J78" i="3" s="1"/>
  <c r="K83" i="2"/>
  <c r="N78" i="3" s="1"/>
  <c r="I83" i="2"/>
  <c r="L78" i="3" s="1"/>
  <c r="I196" i="3"/>
  <c r="Q196" i="3"/>
  <c r="P196" i="3"/>
  <c r="M86" i="7"/>
  <c r="A86" i="7"/>
  <c r="R87" i="7" s="1"/>
  <c r="D85" i="7"/>
  <c r="C196" i="3" s="1"/>
  <c r="D82" i="2"/>
  <c r="F50" i="2"/>
  <c r="D44" i="3"/>
  <c r="A83" i="2"/>
  <c r="M83" i="2"/>
  <c r="I78" i="3" s="1"/>
  <c r="A77" i="3"/>
  <c r="B75" i="3"/>
  <c r="C75" i="3"/>
  <c r="R84" i="2" l="1"/>
  <c r="Q79" i="3" s="1"/>
  <c r="Q84" i="2"/>
  <c r="P79" i="3" s="1"/>
  <c r="O78" i="3"/>
  <c r="H78" i="3"/>
  <c r="A197" i="3"/>
  <c r="K198" i="3"/>
  <c r="L87" i="7"/>
  <c r="O198" i="3" s="1"/>
  <c r="J87" i="7"/>
  <c r="M198" i="3" s="1"/>
  <c r="N87" i="7"/>
  <c r="J198" i="3" s="1"/>
  <c r="K87" i="7"/>
  <c r="N198" i="3" s="1"/>
  <c r="I87" i="7"/>
  <c r="L198" i="3" s="1"/>
  <c r="O84" i="2"/>
  <c r="K79" i="3" s="1"/>
  <c r="L84" i="2"/>
  <c r="J84" i="2"/>
  <c r="M79" i="3" s="1"/>
  <c r="N84" i="2"/>
  <c r="J79" i="3" s="1"/>
  <c r="K84" i="2"/>
  <c r="N79" i="3" s="1"/>
  <c r="I84" i="2"/>
  <c r="L79" i="3" s="1"/>
  <c r="P197" i="3"/>
  <c r="Q197" i="3"/>
  <c r="I197" i="3"/>
  <c r="A87" i="7"/>
  <c r="R88" i="7" s="1"/>
  <c r="D86" i="7"/>
  <c r="C197" i="3" s="1"/>
  <c r="M87" i="7"/>
  <c r="D83" i="2"/>
  <c r="G45" i="3"/>
  <c r="M84" i="2"/>
  <c r="I79" i="3" s="1"/>
  <c r="A78" i="3"/>
  <c r="A84" i="2"/>
  <c r="B76" i="3"/>
  <c r="C76" i="3"/>
  <c r="R85" i="2" l="1"/>
  <c r="Q85" i="2"/>
  <c r="P80" i="3" s="1"/>
  <c r="O79" i="3"/>
  <c r="H79" i="3"/>
  <c r="A198" i="3"/>
  <c r="K199" i="3"/>
  <c r="L88" i="7"/>
  <c r="O199" i="3" s="1"/>
  <c r="J88" i="7"/>
  <c r="M199" i="3" s="1"/>
  <c r="N88" i="7"/>
  <c r="J199" i="3" s="1"/>
  <c r="K88" i="7"/>
  <c r="N199" i="3" s="1"/>
  <c r="I88" i="7"/>
  <c r="L199" i="3" s="1"/>
  <c r="O85" i="2"/>
  <c r="K80" i="3" s="1"/>
  <c r="L85" i="2"/>
  <c r="J85" i="2"/>
  <c r="M80" i="3" s="1"/>
  <c r="N85" i="2"/>
  <c r="J80" i="3" s="1"/>
  <c r="K85" i="2"/>
  <c r="N80" i="3" s="1"/>
  <c r="I85" i="2"/>
  <c r="L80" i="3" s="1"/>
  <c r="Q80" i="3"/>
  <c r="Q198" i="3"/>
  <c r="I198" i="3"/>
  <c r="P198" i="3"/>
  <c r="M88" i="7"/>
  <c r="A88" i="7"/>
  <c r="R89" i="7" s="1"/>
  <c r="D87" i="7"/>
  <c r="C198" i="3" s="1"/>
  <c r="D84" i="2"/>
  <c r="H50" i="2"/>
  <c r="E50" i="2"/>
  <c r="G51" i="2" s="1"/>
  <c r="F45" i="3"/>
  <c r="A85" i="2"/>
  <c r="M85" i="2"/>
  <c r="I80" i="3" s="1"/>
  <c r="A79" i="3"/>
  <c r="B77" i="3"/>
  <c r="C77" i="3"/>
  <c r="R86" i="2" l="1"/>
  <c r="Q81" i="3" s="1"/>
  <c r="Q86" i="2"/>
  <c r="E45" i="3"/>
  <c r="S50" i="2"/>
  <c r="O80" i="3"/>
  <c r="H80" i="3"/>
  <c r="A199" i="3"/>
  <c r="K200" i="3"/>
  <c r="L89" i="7"/>
  <c r="O200" i="3" s="1"/>
  <c r="J89" i="7"/>
  <c r="M200" i="3" s="1"/>
  <c r="N89" i="7"/>
  <c r="J200" i="3" s="1"/>
  <c r="K89" i="7"/>
  <c r="N200" i="3" s="1"/>
  <c r="I89" i="7"/>
  <c r="L200" i="3" s="1"/>
  <c r="O86" i="2"/>
  <c r="K81" i="3" s="1"/>
  <c r="L86" i="2"/>
  <c r="J86" i="2"/>
  <c r="M81" i="3" s="1"/>
  <c r="N86" i="2"/>
  <c r="J81" i="3" s="1"/>
  <c r="K86" i="2"/>
  <c r="N81" i="3" s="1"/>
  <c r="I86" i="2"/>
  <c r="L81" i="3" s="1"/>
  <c r="Q199" i="3"/>
  <c r="P199" i="3"/>
  <c r="I199" i="3"/>
  <c r="M89" i="7"/>
  <c r="D88" i="7"/>
  <c r="C199" i="3" s="1"/>
  <c r="A89" i="7"/>
  <c r="R90" i="7" s="1"/>
  <c r="D85" i="2"/>
  <c r="D45" i="3"/>
  <c r="F51" i="2"/>
  <c r="A86" i="2"/>
  <c r="M86" i="2"/>
  <c r="I81" i="3" s="1"/>
  <c r="A80" i="3"/>
  <c r="P81" i="3"/>
  <c r="B78" i="3"/>
  <c r="C78" i="3"/>
  <c r="R87" i="2" l="1"/>
  <c r="Q87" i="2"/>
  <c r="O81" i="3"/>
  <c r="H81" i="3"/>
  <c r="A200" i="3"/>
  <c r="K201" i="3"/>
  <c r="L90" i="7"/>
  <c r="O201" i="3" s="1"/>
  <c r="J90" i="7"/>
  <c r="M201" i="3" s="1"/>
  <c r="N90" i="7"/>
  <c r="J201" i="3" s="1"/>
  <c r="K90" i="7"/>
  <c r="N201" i="3" s="1"/>
  <c r="I90" i="7"/>
  <c r="L201" i="3" s="1"/>
  <c r="O87" i="2"/>
  <c r="K82" i="3" s="1"/>
  <c r="L87" i="2"/>
  <c r="J87" i="2"/>
  <c r="M82" i="3" s="1"/>
  <c r="N87" i="2"/>
  <c r="J82" i="3" s="1"/>
  <c r="K87" i="2"/>
  <c r="N82" i="3" s="1"/>
  <c r="I87" i="2"/>
  <c r="L82" i="3" s="1"/>
  <c r="Q82" i="3"/>
  <c r="P200" i="3"/>
  <c r="Q200" i="3"/>
  <c r="I200" i="3"/>
  <c r="A90" i="7"/>
  <c r="R91" i="7" s="1"/>
  <c r="M90" i="7"/>
  <c r="D89" i="7"/>
  <c r="C200" i="3" s="1"/>
  <c r="D86" i="2"/>
  <c r="G46" i="3"/>
  <c r="M87" i="2"/>
  <c r="I82" i="3" s="1"/>
  <c r="P82" i="3"/>
  <c r="A81" i="3"/>
  <c r="A87" i="2"/>
  <c r="B79" i="3"/>
  <c r="C79" i="3"/>
  <c r="R88" i="2" l="1"/>
  <c r="Q83" i="3" s="1"/>
  <c r="Q88" i="2"/>
  <c r="P83" i="3" s="1"/>
  <c r="O82" i="3"/>
  <c r="H82" i="3"/>
  <c r="A201" i="3"/>
  <c r="K202" i="3"/>
  <c r="L91" i="7"/>
  <c r="O202" i="3" s="1"/>
  <c r="J91" i="7"/>
  <c r="M202" i="3" s="1"/>
  <c r="N91" i="7"/>
  <c r="J202" i="3" s="1"/>
  <c r="K91" i="7"/>
  <c r="N202" i="3" s="1"/>
  <c r="I91" i="7"/>
  <c r="L202" i="3" s="1"/>
  <c r="O88" i="2"/>
  <c r="K83" i="3" s="1"/>
  <c r="L88" i="2"/>
  <c r="J88" i="2"/>
  <c r="M83" i="3" s="1"/>
  <c r="N88" i="2"/>
  <c r="J83" i="3" s="1"/>
  <c r="K88" i="2"/>
  <c r="N83" i="3" s="1"/>
  <c r="I88" i="2"/>
  <c r="L83" i="3" s="1"/>
  <c r="I201" i="3"/>
  <c r="P201" i="3"/>
  <c r="Q201" i="3"/>
  <c r="M91" i="7"/>
  <c r="A91" i="7"/>
  <c r="R92" i="7" s="1"/>
  <c r="D90" i="7"/>
  <c r="C201" i="3" s="1"/>
  <c r="D87" i="2"/>
  <c r="H51" i="2"/>
  <c r="F46" i="3"/>
  <c r="E51" i="2"/>
  <c r="G52" i="2" s="1"/>
  <c r="M88" i="2"/>
  <c r="I83" i="3" s="1"/>
  <c r="A82" i="3"/>
  <c r="A88" i="2"/>
  <c r="B80" i="3"/>
  <c r="C80" i="3"/>
  <c r="R89" i="2" l="1"/>
  <c r="Q89" i="2"/>
  <c r="P84" i="3" s="1"/>
  <c r="E46" i="3"/>
  <c r="S51" i="2"/>
  <c r="O83" i="3"/>
  <c r="H83" i="3"/>
  <c r="A202" i="3"/>
  <c r="K203" i="3"/>
  <c r="L92" i="7"/>
  <c r="O203" i="3" s="1"/>
  <c r="J92" i="7"/>
  <c r="M203" i="3" s="1"/>
  <c r="N92" i="7"/>
  <c r="J203" i="3" s="1"/>
  <c r="K92" i="7"/>
  <c r="N203" i="3" s="1"/>
  <c r="I92" i="7"/>
  <c r="L203" i="3" s="1"/>
  <c r="O89" i="2"/>
  <c r="K84" i="3" s="1"/>
  <c r="L89" i="2"/>
  <c r="J89" i="2"/>
  <c r="M84" i="3" s="1"/>
  <c r="N89" i="2"/>
  <c r="J84" i="3" s="1"/>
  <c r="K89" i="2"/>
  <c r="N84" i="3" s="1"/>
  <c r="I89" i="2"/>
  <c r="L84" i="3" s="1"/>
  <c r="Q84" i="3"/>
  <c r="Q202" i="3"/>
  <c r="P202" i="3"/>
  <c r="I202" i="3"/>
  <c r="D91" i="7"/>
  <c r="C202" i="3" s="1"/>
  <c r="M92" i="7"/>
  <c r="A92" i="7"/>
  <c r="R93" i="7" s="1"/>
  <c r="D88" i="2"/>
  <c r="D46" i="3"/>
  <c r="F52" i="2"/>
  <c r="M89" i="2"/>
  <c r="I84" i="3" s="1"/>
  <c r="A83" i="3"/>
  <c r="A89" i="2"/>
  <c r="C81" i="3"/>
  <c r="B81" i="3"/>
  <c r="R90" i="2" l="1"/>
  <c r="Q85" i="3" s="1"/>
  <c r="Q90" i="2"/>
  <c r="P85" i="3" s="1"/>
  <c r="O84" i="3"/>
  <c r="H84" i="3"/>
  <c r="A203" i="3"/>
  <c r="K204" i="3"/>
  <c r="L93" i="7"/>
  <c r="O204" i="3" s="1"/>
  <c r="J93" i="7"/>
  <c r="M204" i="3" s="1"/>
  <c r="N93" i="7"/>
  <c r="J204" i="3" s="1"/>
  <c r="K93" i="7"/>
  <c r="N204" i="3" s="1"/>
  <c r="I93" i="7"/>
  <c r="L204" i="3" s="1"/>
  <c r="O90" i="2"/>
  <c r="K85" i="3" s="1"/>
  <c r="L90" i="2"/>
  <c r="J90" i="2"/>
  <c r="M85" i="3" s="1"/>
  <c r="N90" i="2"/>
  <c r="J85" i="3" s="1"/>
  <c r="K90" i="2"/>
  <c r="N85" i="3" s="1"/>
  <c r="I90" i="2"/>
  <c r="L85" i="3" s="1"/>
  <c r="P203" i="3"/>
  <c r="Q203" i="3"/>
  <c r="I203" i="3"/>
  <c r="D92" i="7"/>
  <c r="C203" i="3" s="1"/>
  <c r="M93" i="7"/>
  <c r="A93" i="7"/>
  <c r="R94" i="7" s="1"/>
  <c r="D89" i="2"/>
  <c r="G47" i="3"/>
  <c r="A90" i="2"/>
  <c r="M90" i="2"/>
  <c r="I85" i="3" s="1"/>
  <c r="A84" i="3"/>
  <c r="C82" i="3"/>
  <c r="B82" i="3"/>
  <c r="R91" i="2" l="1"/>
  <c r="Q91" i="2"/>
  <c r="P86" i="3" s="1"/>
  <c r="O85" i="3"/>
  <c r="H85" i="3"/>
  <c r="A204" i="3"/>
  <c r="K205" i="3"/>
  <c r="L94" i="7"/>
  <c r="O205" i="3" s="1"/>
  <c r="J94" i="7"/>
  <c r="M205" i="3" s="1"/>
  <c r="N94" i="7"/>
  <c r="J205" i="3" s="1"/>
  <c r="K94" i="7"/>
  <c r="N205" i="3" s="1"/>
  <c r="I94" i="7"/>
  <c r="L205" i="3" s="1"/>
  <c r="O91" i="2"/>
  <c r="K86" i="3" s="1"/>
  <c r="L91" i="2"/>
  <c r="J91" i="2"/>
  <c r="M86" i="3" s="1"/>
  <c r="N91" i="2"/>
  <c r="J86" i="3" s="1"/>
  <c r="K91" i="2"/>
  <c r="N86" i="3" s="1"/>
  <c r="I91" i="2"/>
  <c r="L86" i="3" s="1"/>
  <c r="Q86" i="3"/>
  <c r="I204" i="3"/>
  <c r="P204" i="3"/>
  <c r="Q204" i="3"/>
  <c r="D93" i="7"/>
  <c r="C204" i="3" s="1"/>
  <c r="M94" i="7"/>
  <c r="A94" i="7"/>
  <c r="D90" i="2"/>
  <c r="H52" i="2"/>
  <c r="F47" i="3"/>
  <c r="E52" i="2"/>
  <c r="G53" i="2" s="1"/>
  <c r="A91" i="2"/>
  <c r="M91" i="2"/>
  <c r="I86" i="3" s="1"/>
  <c r="A85" i="3"/>
  <c r="C83" i="3"/>
  <c r="B83" i="3"/>
  <c r="R92" i="2" l="1"/>
  <c r="Q87" i="3" s="1"/>
  <c r="Q92" i="2"/>
  <c r="S52" i="2"/>
  <c r="O86" i="3"/>
  <c r="H86" i="3"/>
  <c r="A205" i="3"/>
  <c r="K206" i="3"/>
  <c r="L95" i="7"/>
  <c r="O206" i="3" s="1"/>
  <c r="J95" i="7"/>
  <c r="M206" i="3" s="1"/>
  <c r="N95" i="7"/>
  <c r="J206" i="3" s="1"/>
  <c r="K95" i="7"/>
  <c r="N206" i="3" s="1"/>
  <c r="I95" i="7"/>
  <c r="L206" i="3" s="1"/>
  <c r="O92" i="2"/>
  <c r="K87" i="3" s="1"/>
  <c r="L92" i="2"/>
  <c r="J92" i="2"/>
  <c r="M87" i="3" s="1"/>
  <c r="N92" i="2"/>
  <c r="J87" i="3" s="1"/>
  <c r="K92" i="2"/>
  <c r="N87" i="3" s="1"/>
  <c r="I92" i="2"/>
  <c r="L87" i="3" s="1"/>
  <c r="I205" i="3"/>
  <c r="Q205" i="3"/>
  <c r="P205" i="3"/>
  <c r="M95" i="7"/>
  <c r="A95" i="7"/>
  <c r="D94" i="7"/>
  <c r="C205" i="3" s="1"/>
  <c r="E47" i="3"/>
  <c r="P48" i="3"/>
  <c r="D91" i="2"/>
  <c r="D47" i="3"/>
  <c r="M92" i="2"/>
  <c r="I87" i="3" s="1"/>
  <c r="A86" i="3"/>
  <c r="A92" i="2"/>
  <c r="P87" i="3"/>
  <c r="B84" i="3"/>
  <c r="C84" i="3"/>
  <c r="R93" i="2" l="1"/>
  <c r="Q93" i="2"/>
  <c r="P88" i="3" s="1"/>
  <c r="O87" i="3"/>
  <c r="H87" i="3"/>
  <c r="O93" i="2"/>
  <c r="K88" i="3" s="1"/>
  <c r="L93" i="2"/>
  <c r="J93" i="2"/>
  <c r="M88" i="3" s="1"/>
  <c r="N93" i="2"/>
  <c r="J88" i="3" s="1"/>
  <c r="K93" i="2"/>
  <c r="N88" i="3" s="1"/>
  <c r="I93" i="2"/>
  <c r="L88" i="3" s="1"/>
  <c r="Q88" i="3"/>
  <c r="I206" i="3"/>
  <c r="Q96" i="7"/>
  <c r="E95" i="7"/>
  <c r="D206" i="3" s="1"/>
  <c r="M96" i="7"/>
  <c r="D95" i="7"/>
  <c r="C206" i="3" s="1"/>
  <c r="G96" i="7"/>
  <c r="G207" i="3" s="1"/>
  <c r="A96" i="7"/>
  <c r="H96" i="7"/>
  <c r="E207" i="3" s="1"/>
  <c r="R96" i="7"/>
  <c r="F53" i="2"/>
  <c r="D92" i="2"/>
  <c r="G48" i="3"/>
  <c r="M93" i="2"/>
  <c r="I88" i="3" s="1"/>
  <c r="A93" i="2"/>
  <c r="A87" i="3"/>
  <c r="C85" i="3"/>
  <c r="B85" i="3"/>
  <c r="R94" i="2" l="1"/>
  <c r="Q94" i="2"/>
  <c r="O88" i="3"/>
  <c r="H88" i="3"/>
  <c r="O94" i="2"/>
  <c r="K89" i="3" s="1"/>
  <c r="L94" i="2"/>
  <c r="J94" i="2"/>
  <c r="M89" i="3" s="1"/>
  <c r="N94" i="2"/>
  <c r="J89" i="3" s="1"/>
  <c r="K94" i="2"/>
  <c r="N89" i="3" s="1"/>
  <c r="I94" i="2"/>
  <c r="L89" i="3" s="1"/>
  <c r="Q89" i="3"/>
  <c r="Q207" i="3"/>
  <c r="I207" i="3"/>
  <c r="P207" i="3"/>
  <c r="R97" i="7"/>
  <c r="G97" i="7"/>
  <c r="G208" i="3" s="1"/>
  <c r="M97" i="7"/>
  <c r="D96" i="7"/>
  <c r="C207" i="3" s="1"/>
  <c r="A97" i="7"/>
  <c r="E96" i="7"/>
  <c r="D207" i="3" s="1"/>
  <c r="H97" i="7"/>
  <c r="E208" i="3" s="1"/>
  <c r="Q97" i="7"/>
  <c r="D93" i="2"/>
  <c r="E53" i="2"/>
  <c r="G54" i="2" s="1"/>
  <c r="F48" i="3"/>
  <c r="H53" i="2"/>
  <c r="A94" i="2"/>
  <c r="O95" i="2" s="1"/>
  <c r="P89" i="3"/>
  <c r="M94" i="2"/>
  <c r="I89" i="3" s="1"/>
  <c r="A88" i="3"/>
  <c r="C86" i="3"/>
  <c r="B86" i="3"/>
  <c r="E48" i="3" l="1"/>
  <c r="S53" i="2"/>
  <c r="O89" i="3"/>
  <c r="H89" i="3"/>
  <c r="K90" i="3"/>
  <c r="L95" i="2"/>
  <c r="J95" i="2"/>
  <c r="M90" i="3" s="1"/>
  <c r="N95" i="2"/>
  <c r="J90" i="3" s="1"/>
  <c r="K95" i="2"/>
  <c r="N90" i="3" s="1"/>
  <c r="I95" i="2"/>
  <c r="L90" i="3" s="1"/>
  <c r="P208" i="3"/>
  <c r="I208" i="3"/>
  <c r="Q208" i="3"/>
  <c r="H98" i="7"/>
  <c r="E209" i="3" s="1"/>
  <c r="M98" i="7"/>
  <c r="D97" i="7"/>
  <c r="C208" i="3" s="1"/>
  <c r="R98" i="7"/>
  <c r="A98" i="7"/>
  <c r="E97" i="7"/>
  <c r="D208" i="3" s="1"/>
  <c r="G98" i="7"/>
  <c r="G209" i="3" s="1"/>
  <c r="Q98" i="7"/>
  <c r="F96" i="7"/>
  <c r="F207" i="3" s="1"/>
  <c r="D94" i="2"/>
  <c r="D48" i="3"/>
  <c r="F54" i="2"/>
  <c r="A95" i="2"/>
  <c r="M95" i="2"/>
  <c r="I90" i="3" s="1"/>
  <c r="A89" i="3"/>
  <c r="B87" i="3"/>
  <c r="C87" i="3"/>
  <c r="O90" i="3" l="1"/>
  <c r="H90" i="3"/>
  <c r="R96" i="2"/>
  <c r="Q91" i="3" s="1"/>
  <c r="P209" i="3"/>
  <c r="I209" i="3"/>
  <c r="Q209" i="3"/>
  <c r="M99" i="7"/>
  <c r="A99" i="7"/>
  <c r="D98" i="7"/>
  <c r="C209" i="3" s="1"/>
  <c r="H99" i="7"/>
  <c r="E210" i="3" s="1"/>
  <c r="R99" i="7"/>
  <c r="E98" i="7"/>
  <c r="D209" i="3" s="1"/>
  <c r="G99" i="7"/>
  <c r="G210" i="3" s="1"/>
  <c r="Q99" i="7"/>
  <c r="F97" i="7"/>
  <c r="F208" i="3" s="1"/>
  <c r="D95" i="2"/>
  <c r="C90" i="3" s="1"/>
  <c r="G49" i="3"/>
  <c r="A96" i="2"/>
  <c r="R97" i="2" s="1"/>
  <c r="Q92" i="3" s="1"/>
  <c r="A90" i="3"/>
  <c r="M96" i="2"/>
  <c r="I91" i="3" s="1"/>
  <c r="B90" i="3"/>
  <c r="Q96" i="2"/>
  <c r="P91" i="3" s="1"/>
  <c r="B88" i="3"/>
  <c r="C88" i="3"/>
  <c r="P210" i="3" l="1"/>
  <c r="Q210" i="3"/>
  <c r="I210" i="3"/>
  <c r="Q100" i="7"/>
  <c r="E99" i="7"/>
  <c r="D210" i="3" s="1"/>
  <c r="H100" i="7"/>
  <c r="E211" i="3" s="1"/>
  <c r="R100" i="7"/>
  <c r="D99" i="7"/>
  <c r="C210" i="3" s="1"/>
  <c r="A100" i="7"/>
  <c r="G100" i="7"/>
  <c r="G211" i="3" s="1"/>
  <c r="M100" i="7"/>
  <c r="F98" i="7"/>
  <c r="F209" i="3" s="1"/>
  <c r="D96" i="2"/>
  <c r="C91" i="3" s="1"/>
  <c r="H54" i="2"/>
  <c r="F49" i="3"/>
  <c r="E54" i="2"/>
  <c r="G55" i="2" s="1"/>
  <c r="Q97" i="2"/>
  <c r="P92" i="3" s="1"/>
  <c r="M97" i="2"/>
  <c r="I92" i="3" s="1"/>
  <c r="A97" i="2"/>
  <c r="R98" i="2" s="1"/>
  <c r="Q93" i="3" s="1"/>
  <c r="B91" i="3"/>
  <c r="A91" i="3"/>
  <c r="C89" i="3"/>
  <c r="E49" i="3" l="1"/>
  <c r="S54" i="2"/>
  <c r="Q211" i="3"/>
  <c r="I211" i="3"/>
  <c r="P211" i="3"/>
  <c r="R101" i="7"/>
  <c r="G101" i="7"/>
  <c r="G212" i="3" s="1"/>
  <c r="H101" i="7"/>
  <c r="E212" i="3" s="1"/>
  <c r="Q101" i="7"/>
  <c r="E100" i="7"/>
  <c r="D211" i="3" s="1"/>
  <c r="D100" i="7"/>
  <c r="C211" i="3" s="1"/>
  <c r="A101" i="7"/>
  <c r="M101" i="7"/>
  <c r="F99" i="7"/>
  <c r="F210" i="3" s="1"/>
  <c r="D97" i="2"/>
  <c r="C92" i="3" s="1"/>
  <c r="D49" i="3"/>
  <c r="F55" i="2"/>
  <c r="M98" i="2"/>
  <c r="I93" i="3" s="1"/>
  <c r="Q98" i="2"/>
  <c r="P93" i="3" s="1"/>
  <c r="A98" i="2"/>
  <c r="R99" i="2" s="1"/>
  <c r="Q94" i="3" s="1"/>
  <c r="B92" i="3"/>
  <c r="A92" i="3"/>
  <c r="B89" i="3"/>
  <c r="B113" i="3"/>
  <c r="Q212" i="3" l="1"/>
  <c r="I212" i="3"/>
  <c r="P212" i="3"/>
  <c r="H102" i="7"/>
  <c r="E213" i="3" s="1"/>
  <c r="G102" i="7"/>
  <c r="G213" i="3" s="1"/>
  <c r="Q102" i="7"/>
  <c r="E101" i="7"/>
  <c r="D212" i="3" s="1"/>
  <c r="D101" i="7"/>
  <c r="C212" i="3" s="1"/>
  <c r="R102" i="7"/>
  <c r="A102" i="7"/>
  <c r="M102" i="7"/>
  <c r="F100" i="7"/>
  <c r="F211" i="3" s="1"/>
  <c r="D98" i="2"/>
  <c r="C93" i="3" s="1"/>
  <c r="G50" i="3"/>
  <c r="B93" i="3"/>
  <c r="M99" i="2"/>
  <c r="I94" i="3" s="1"/>
  <c r="A99" i="2"/>
  <c r="R100" i="2" s="1"/>
  <c r="Q95" i="3" s="1"/>
  <c r="Q99" i="2"/>
  <c r="P94" i="3" s="1"/>
  <c r="A93" i="3"/>
  <c r="I213" i="3" l="1"/>
  <c r="Q213" i="3"/>
  <c r="P213" i="3"/>
  <c r="R103" i="7"/>
  <c r="G103" i="7"/>
  <c r="G214" i="3" s="1"/>
  <c r="M103" i="7"/>
  <c r="A103" i="7"/>
  <c r="D102" i="7"/>
  <c r="C213" i="3" s="1"/>
  <c r="H103" i="7"/>
  <c r="E214" i="3" s="1"/>
  <c r="E102" i="7"/>
  <c r="D213" i="3" s="1"/>
  <c r="Q103" i="7"/>
  <c r="F101" i="7"/>
  <c r="F212" i="3" s="1"/>
  <c r="D99" i="2"/>
  <c r="C94" i="3" s="1"/>
  <c r="H55" i="2"/>
  <c r="F50" i="3"/>
  <c r="E55" i="2"/>
  <c r="G56" i="2" s="1"/>
  <c r="M100" i="2"/>
  <c r="I95" i="3" s="1"/>
  <c r="Q100" i="2"/>
  <c r="P95" i="3" s="1"/>
  <c r="A100" i="2"/>
  <c r="R101" i="2" s="1"/>
  <c r="Q96" i="3" s="1"/>
  <c r="B94" i="3"/>
  <c r="A94" i="3"/>
  <c r="E50" i="3" l="1"/>
  <c r="S55" i="2"/>
  <c r="P214" i="3"/>
  <c r="I214" i="3"/>
  <c r="Q214" i="3"/>
  <c r="H104" i="7"/>
  <c r="E215" i="3" s="1"/>
  <c r="Q104" i="7"/>
  <c r="E103" i="7"/>
  <c r="D214" i="3" s="1"/>
  <c r="M104" i="7"/>
  <c r="A104" i="7"/>
  <c r="D103" i="7"/>
  <c r="C214" i="3" s="1"/>
  <c r="G104" i="7"/>
  <c r="G215" i="3" s="1"/>
  <c r="R104" i="7"/>
  <c r="F102" i="7"/>
  <c r="F213" i="3" s="1"/>
  <c r="D100" i="2"/>
  <c r="C95" i="3" s="1"/>
  <c r="F56" i="2"/>
  <c r="D50" i="3"/>
  <c r="A95" i="3"/>
  <c r="M101" i="2"/>
  <c r="I96" i="3" s="1"/>
  <c r="A101" i="2"/>
  <c r="R102" i="2" s="1"/>
  <c r="Q97" i="3" s="1"/>
  <c r="Q101" i="2"/>
  <c r="P96" i="3" s="1"/>
  <c r="B95" i="3"/>
  <c r="P215" i="3" l="1"/>
  <c r="Q215" i="3"/>
  <c r="I215" i="3"/>
  <c r="M105" i="7"/>
  <c r="A105" i="7"/>
  <c r="D104" i="7"/>
  <c r="C215" i="3" s="1"/>
  <c r="R105" i="7"/>
  <c r="G105" i="7"/>
  <c r="G216" i="3" s="1"/>
  <c r="Q105" i="7"/>
  <c r="E104" i="7"/>
  <c r="D215" i="3" s="1"/>
  <c r="H105" i="7"/>
  <c r="E216" i="3" s="1"/>
  <c r="F103" i="7"/>
  <c r="F214" i="3" s="1"/>
  <c r="D101" i="2"/>
  <c r="C96" i="3" s="1"/>
  <c r="G51" i="3"/>
  <c r="M102" i="2"/>
  <c r="I97" i="3" s="1"/>
  <c r="Q102" i="2"/>
  <c r="P97" i="3" s="1"/>
  <c r="A102" i="2"/>
  <c r="R103" i="2" s="1"/>
  <c r="Q98" i="3" s="1"/>
  <c r="B96" i="3"/>
  <c r="A96" i="3"/>
  <c r="Q216" i="3" l="1"/>
  <c r="P216" i="3"/>
  <c r="I216" i="3"/>
  <c r="Q106" i="7"/>
  <c r="E105" i="7"/>
  <c r="D216" i="3" s="1"/>
  <c r="H106" i="7"/>
  <c r="E217" i="3" s="1"/>
  <c r="G106" i="7"/>
  <c r="G217" i="3" s="1"/>
  <c r="R106" i="7"/>
  <c r="A106" i="7"/>
  <c r="M106" i="7"/>
  <c r="D105" i="7"/>
  <c r="C216" i="3" s="1"/>
  <c r="F104" i="7"/>
  <c r="F215" i="3" s="1"/>
  <c r="D102" i="2"/>
  <c r="C97" i="3" s="1"/>
  <c r="H56" i="2"/>
  <c r="E56" i="2"/>
  <c r="G57" i="2" s="1"/>
  <c r="F51" i="3"/>
  <c r="A103" i="2"/>
  <c r="R104" i="2" s="1"/>
  <c r="Q99" i="3" s="1"/>
  <c r="Q103" i="2"/>
  <c r="P98" i="3" s="1"/>
  <c r="B97" i="3"/>
  <c r="A97" i="3"/>
  <c r="M103" i="2"/>
  <c r="I98" i="3" s="1"/>
  <c r="E51" i="3" l="1"/>
  <c r="S56" i="2"/>
  <c r="I217" i="3"/>
  <c r="Q217" i="3"/>
  <c r="P217" i="3"/>
  <c r="R107" i="7"/>
  <c r="G107" i="7"/>
  <c r="G218" i="3" s="1"/>
  <c r="M107" i="7"/>
  <c r="A107" i="7"/>
  <c r="D106" i="7"/>
  <c r="C217" i="3" s="1"/>
  <c r="H107" i="7"/>
  <c r="E218" i="3" s="1"/>
  <c r="E106" i="7"/>
  <c r="D217" i="3" s="1"/>
  <c r="Q107" i="7"/>
  <c r="F105" i="7"/>
  <c r="F216" i="3" s="1"/>
  <c r="D103" i="2"/>
  <c r="C98" i="3" s="1"/>
  <c r="D51" i="3"/>
  <c r="F57" i="2"/>
  <c r="A104" i="2"/>
  <c r="R105" i="2" s="1"/>
  <c r="Q100" i="3" s="1"/>
  <c r="B98" i="3"/>
  <c r="A98" i="3"/>
  <c r="M104" i="2"/>
  <c r="I99" i="3" s="1"/>
  <c r="Q104" i="2"/>
  <c r="P99" i="3" s="1"/>
  <c r="I218" i="3" l="1"/>
  <c r="Q218" i="3"/>
  <c r="P218" i="3"/>
  <c r="H108" i="7"/>
  <c r="E219" i="3" s="1"/>
  <c r="Q108" i="7"/>
  <c r="E107" i="7"/>
  <c r="D218" i="3" s="1"/>
  <c r="M108" i="7"/>
  <c r="A108" i="7"/>
  <c r="D107" i="7"/>
  <c r="C218" i="3" s="1"/>
  <c r="R108" i="7"/>
  <c r="G108" i="7"/>
  <c r="G219" i="3" s="1"/>
  <c r="F106" i="7"/>
  <c r="F217" i="3" s="1"/>
  <c r="D104" i="2"/>
  <c r="C99" i="3" s="1"/>
  <c r="G52" i="3"/>
  <c r="M105" i="2"/>
  <c r="I100" i="3" s="1"/>
  <c r="A105" i="2"/>
  <c r="R106" i="2" s="1"/>
  <c r="Q101" i="3" s="1"/>
  <c r="Q105" i="2"/>
  <c r="P100" i="3" s="1"/>
  <c r="B99" i="3"/>
  <c r="A99" i="3"/>
  <c r="P170" i="3" l="1"/>
  <c r="I219" i="3"/>
  <c r="Q219" i="3"/>
  <c r="P219" i="3"/>
  <c r="M109" i="7"/>
  <c r="A109" i="7"/>
  <c r="D108" i="7"/>
  <c r="C219" i="3" s="1"/>
  <c r="R109" i="7"/>
  <c r="G109" i="7"/>
  <c r="G220" i="3" s="1"/>
  <c r="Q109" i="7"/>
  <c r="E108" i="7"/>
  <c r="D219" i="3" s="1"/>
  <c r="H109" i="7"/>
  <c r="E220" i="3" s="1"/>
  <c r="F107" i="7"/>
  <c r="F218" i="3" s="1"/>
  <c r="D105" i="2"/>
  <c r="C100" i="3" s="1"/>
  <c r="H57" i="2"/>
  <c r="F52" i="3"/>
  <c r="E57" i="2"/>
  <c r="G58" i="2" s="1"/>
  <c r="M106" i="2"/>
  <c r="I101" i="3" s="1"/>
  <c r="Q106" i="2"/>
  <c r="P101" i="3" s="1"/>
  <c r="A106" i="2"/>
  <c r="R107" i="2" s="1"/>
  <c r="Q102" i="3" s="1"/>
  <c r="B100" i="3"/>
  <c r="A100" i="3"/>
  <c r="E52" i="3" l="1"/>
  <c r="S57" i="2"/>
  <c r="R59" i="7"/>
  <c r="Q170" i="3" s="1"/>
  <c r="P220" i="3"/>
  <c r="Q220" i="3"/>
  <c r="I220" i="3"/>
  <c r="Q110" i="7"/>
  <c r="E109" i="7"/>
  <c r="D220" i="3" s="1"/>
  <c r="H110" i="7"/>
  <c r="E221" i="3" s="1"/>
  <c r="R110" i="7"/>
  <c r="G110" i="7"/>
  <c r="G221" i="3" s="1"/>
  <c r="A110" i="7"/>
  <c r="D109" i="7"/>
  <c r="C220" i="3" s="1"/>
  <c r="M110" i="7"/>
  <c r="F108" i="7"/>
  <c r="F219" i="3" s="1"/>
  <c r="D106" i="2"/>
  <c r="C101" i="3" s="1"/>
  <c r="F58" i="2"/>
  <c r="D52" i="3"/>
  <c r="M107" i="2"/>
  <c r="I102" i="3" s="1"/>
  <c r="A107" i="2"/>
  <c r="R108" i="2" s="1"/>
  <c r="Q103" i="3" s="1"/>
  <c r="Q107" i="2"/>
  <c r="P102" i="3" s="1"/>
  <c r="B101" i="3"/>
  <c r="A101" i="3"/>
  <c r="I221" i="3" l="1"/>
  <c r="Q221" i="3"/>
  <c r="P221" i="3"/>
  <c r="R111" i="7"/>
  <c r="G111" i="7"/>
  <c r="G222" i="3" s="1"/>
  <c r="M111" i="7"/>
  <c r="A111" i="7"/>
  <c r="D110" i="7"/>
  <c r="C221" i="3" s="1"/>
  <c r="H111" i="7"/>
  <c r="E222" i="3" s="1"/>
  <c r="Q111" i="7"/>
  <c r="E110" i="7"/>
  <c r="D221" i="3" s="1"/>
  <c r="F109" i="7"/>
  <c r="F220" i="3" s="1"/>
  <c r="D107" i="2"/>
  <c r="C102" i="3" s="1"/>
  <c r="G53" i="3"/>
  <c r="A108" i="2"/>
  <c r="R109" i="2" s="1"/>
  <c r="Q104" i="3" s="1"/>
  <c r="B102" i="3"/>
  <c r="A102" i="3"/>
  <c r="M108" i="2"/>
  <c r="I103" i="3" s="1"/>
  <c r="Q108" i="2"/>
  <c r="P103" i="3" s="1"/>
  <c r="P222" i="3" l="1"/>
  <c r="I222" i="3"/>
  <c r="Q222" i="3"/>
  <c r="H112" i="7"/>
  <c r="E223" i="3" s="1"/>
  <c r="Q112" i="7"/>
  <c r="E111" i="7"/>
  <c r="D222" i="3" s="1"/>
  <c r="M112" i="7"/>
  <c r="A112" i="7"/>
  <c r="D111" i="7"/>
  <c r="C222" i="3" s="1"/>
  <c r="R112" i="7"/>
  <c r="G112" i="7"/>
  <c r="G223" i="3" s="1"/>
  <c r="F110" i="7"/>
  <c r="F221" i="3" s="1"/>
  <c r="D108" i="2"/>
  <c r="C103" i="3" s="1"/>
  <c r="H58" i="2"/>
  <c r="F53" i="3"/>
  <c r="E58" i="2"/>
  <c r="G59" i="2" s="1"/>
  <c r="M109" i="2"/>
  <c r="I104" i="3" s="1"/>
  <c r="A109" i="2"/>
  <c r="R110" i="2" s="1"/>
  <c r="Q105" i="3" s="1"/>
  <c r="Q109" i="2"/>
  <c r="P104" i="3" s="1"/>
  <c r="B103" i="3"/>
  <c r="A103" i="3"/>
  <c r="E53" i="3" l="1"/>
  <c r="S58" i="2"/>
  <c r="Q223" i="3"/>
  <c r="P223" i="3"/>
  <c r="I223" i="3"/>
  <c r="M113" i="7"/>
  <c r="A113" i="7"/>
  <c r="D112" i="7"/>
  <c r="C223" i="3" s="1"/>
  <c r="R113" i="7"/>
  <c r="G113" i="7"/>
  <c r="G224" i="3" s="1"/>
  <c r="Q113" i="7"/>
  <c r="E112" i="7"/>
  <c r="D223" i="3" s="1"/>
  <c r="H113" i="7"/>
  <c r="E224" i="3" s="1"/>
  <c r="F111" i="7"/>
  <c r="F222" i="3" s="1"/>
  <c r="D109" i="2"/>
  <c r="C104" i="3" s="1"/>
  <c r="P54" i="3"/>
  <c r="D53" i="3"/>
  <c r="M110" i="2"/>
  <c r="I105" i="3" s="1"/>
  <c r="Q110" i="2"/>
  <c r="P105" i="3" s="1"/>
  <c r="A104" i="3"/>
  <c r="A110" i="2"/>
  <c r="R111" i="2" s="1"/>
  <c r="Q106" i="3" s="1"/>
  <c r="B104" i="3"/>
  <c r="I224" i="3" l="1"/>
  <c r="P224" i="3"/>
  <c r="Q224" i="3"/>
  <c r="Q114" i="7"/>
  <c r="E113" i="7"/>
  <c r="D224" i="3" s="1"/>
  <c r="H114" i="7"/>
  <c r="E225" i="3" s="1"/>
  <c r="G114" i="7"/>
  <c r="G225" i="3" s="1"/>
  <c r="R114" i="7"/>
  <c r="M114" i="7"/>
  <c r="D113" i="7"/>
  <c r="C224" i="3" s="1"/>
  <c r="A114" i="7"/>
  <c r="F112" i="7"/>
  <c r="F223" i="3" s="1"/>
  <c r="D110" i="2"/>
  <c r="C105" i="3" s="1"/>
  <c r="F59" i="2"/>
  <c r="R59" i="2" s="1"/>
  <c r="Q54" i="3" s="1"/>
  <c r="G54" i="3"/>
  <c r="M111" i="2"/>
  <c r="I106" i="3" s="1"/>
  <c r="A111" i="2"/>
  <c r="Q111" i="2"/>
  <c r="P106" i="3" s="1"/>
  <c r="B105" i="3"/>
  <c r="A105" i="3"/>
  <c r="I225" i="3" l="1"/>
  <c r="Q225" i="3"/>
  <c r="P225" i="3"/>
  <c r="R115" i="7"/>
  <c r="G115" i="7"/>
  <c r="G226" i="3" s="1"/>
  <c r="M115" i="7"/>
  <c r="A115" i="7"/>
  <c r="D114" i="7"/>
  <c r="C225" i="3" s="1"/>
  <c r="H115" i="7"/>
  <c r="E226" i="3" s="1"/>
  <c r="Q115" i="7"/>
  <c r="E114" i="7"/>
  <c r="D225" i="3" s="1"/>
  <c r="F113" i="7"/>
  <c r="F224" i="3" s="1"/>
  <c r="R112" i="2"/>
  <c r="Q107" i="3" s="1"/>
  <c r="D111" i="2"/>
  <c r="C106" i="3" s="1"/>
  <c r="H59" i="2"/>
  <c r="F54" i="3"/>
  <c r="E59" i="2"/>
  <c r="G60" i="2" s="1"/>
  <c r="M112" i="2"/>
  <c r="I107" i="3" s="1"/>
  <c r="Q112" i="2"/>
  <c r="P107" i="3" s="1"/>
  <c r="A112" i="2"/>
  <c r="B106" i="3"/>
  <c r="A106" i="3"/>
  <c r="E54" i="3" l="1"/>
  <c r="S59" i="2"/>
  <c r="I226" i="3"/>
  <c r="P226" i="3"/>
  <c r="Q226" i="3"/>
  <c r="H116" i="7"/>
  <c r="E227" i="3" s="1"/>
  <c r="Q116" i="7"/>
  <c r="E115" i="7"/>
  <c r="D226" i="3" s="1"/>
  <c r="M116" i="7"/>
  <c r="A116" i="7"/>
  <c r="D115" i="7"/>
  <c r="C226" i="3" s="1"/>
  <c r="G116" i="7"/>
  <c r="G227" i="3" s="1"/>
  <c r="R116" i="7"/>
  <c r="F114" i="7"/>
  <c r="F225" i="3" s="1"/>
  <c r="R113" i="2"/>
  <c r="Q108" i="3" s="1"/>
  <c r="D112" i="2"/>
  <c r="C107" i="3" s="1"/>
  <c r="D54" i="3"/>
  <c r="F60" i="2"/>
  <c r="M113" i="2"/>
  <c r="I108" i="3" s="1"/>
  <c r="A113" i="2"/>
  <c r="Q113" i="2"/>
  <c r="P108" i="3" s="1"/>
  <c r="B107" i="3"/>
  <c r="A107" i="3"/>
  <c r="I227" i="3" l="1"/>
  <c r="P227" i="3"/>
  <c r="Q227" i="3"/>
  <c r="M117" i="7"/>
  <c r="A117" i="7"/>
  <c r="D116" i="7"/>
  <c r="C227" i="3" s="1"/>
  <c r="R117" i="7"/>
  <c r="G117" i="7"/>
  <c r="G228" i="3" s="1"/>
  <c r="Q117" i="7"/>
  <c r="E116" i="7"/>
  <c r="D227" i="3" s="1"/>
  <c r="H117" i="7"/>
  <c r="E228" i="3" s="1"/>
  <c r="F115" i="7"/>
  <c r="F226" i="3" s="1"/>
  <c r="R114" i="2"/>
  <c r="Q109" i="3" s="1"/>
  <c r="D113" i="2"/>
  <c r="C108" i="3" s="1"/>
  <c r="G55" i="3"/>
  <c r="M114" i="2"/>
  <c r="I109" i="3" s="1"/>
  <c r="A114" i="2"/>
  <c r="B108" i="3"/>
  <c r="A108" i="3"/>
  <c r="Q114" i="2"/>
  <c r="P109" i="3" s="1"/>
  <c r="Q228" i="3" l="1"/>
  <c r="P228" i="3"/>
  <c r="I228" i="3"/>
  <c r="Q118" i="7"/>
  <c r="E117" i="7"/>
  <c r="D228" i="3" s="1"/>
  <c r="H118" i="7"/>
  <c r="E229" i="3" s="1"/>
  <c r="R118" i="7"/>
  <c r="G118" i="7"/>
  <c r="G229" i="3" s="1"/>
  <c r="M118" i="7"/>
  <c r="D117" i="7"/>
  <c r="C228" i="3" s="1"/>
  <c r="A118" i="7"/>
  <c r="F116" i="7"/>
  <c r="F227" i="3" s="1"/>
  <c r="R115" i="2"/>
  <c r="Q110" i="3" s="1"/>
  <c r="D114" i="2"/>
  <c r="C109" i="3" s="1"/>
  <c r="H60" i="2"/>
  <c r="F55" i="3"/>
  <c r="E60" i="2"/>
  <c r="G61" i="2" s="1"/>
  <c r="M115" i="2"/>
  <c r="I110" i="3" s="1"/>
  <c r="A115" i="2"/>
  <c r="Q115" i="2"/>
  <c r="P110" i="3" s="1"/>
  <c r="B109" i="3"/>
  <c r="A109" i="3"/>
  <c r="E55" i="3" l="1"/>
  <c r="S60" i="2"/>
  <c r="I229" i="3"/>
  <c r="Q229" i="3"/>
  <c r="P229" i="3"/>
  <c r="R119" i="7"/>
  <c r="G119" i="7"/>
  <c r="G230" i="3" s="1"/>
  <c r="M119" i="7"/>
  <c r="A119" i="7"/>
  <c r="D118" i="7"/>
  <c r="C229" i="3" s="1"/>
  <c r="H119" i="7"/>
  <c r="E230" i="3" s="1"/>
  <c r="Q119" i="7"/>
  <c r="E118" i="7"/>
  <c r="D229" i="3" s="1"/>
  <c r="F117" i="7"/>
  <c r="F228" i="3" s="1"/>
  <c r="R116" i="2"/>
  <c r="Q111" i="3" s="1"/>
  <c r="D115" i="2"/>
  <c r="C110" i="3" s="1"/>
  <c r="D55" i="3"/>
  <c r="F61" i="2"/>
  <c r="M116" i="2"/>
  <c r="I111" i="3" s="1"/>
  <c r="Q116" i="2"/>
  <c r="P111" i="3" s="1"/>
  <c r="A116" i="2"/>
  <c r="B110" i="3"/>
  <c r="A110" i="3"/>
  <c r="P230" i="3" l="1"/>
  <c r="Q230" i="3"/>
  <c r="I230" i="3"/>
  <c r="M120" i="7"/>
  <c r="A120" i="7"/>
  <c r="F118" i="7"/>
  <c r="F229" i="3" s="1"/>
  <c r="R117" i="2"/>
  <c r="Q112" i="3" s="1"/>
  <c r="D116" i="2"/>
  <c r="C111" i="3" s="1"/>
  <c r="G56" i="3"/>
  <c r="M117" i="2"/>
  <c r="I112" i="3" s="1"/>
  <c r="A117" i="2"/>
  <c r="Q117" i="2"/>
  <c r="P112" i="3" s="1"/>
  <c r="B111" i="3"/>
  <c r="A111" i="3"/>
  <c r="M121" i="7" l="1"/>
  <c r="A121" i="7"/>
  <c r="F119" i="7"/>
  <c r="F230" i="3" s="1"/>
  <c r="R118" i="2"/>
  <c r="Q113" i="3" s="1"/>
  <c r="D117" i="2"/>
  <c r="C112" i="3" s="1"/>
  <c r="H61" i="2"/>
  <c r="E61" i="2"/>
  <c r="G62" i="2" s="1"/>
  <c r="F56" i="3"/>
  <c r="A118" i="2"/>
  <c r="D118" i="2" s="1"/>
  <c r="B112" i="3"/>
  <c r="Q118" i="2"/>
  <c r="P113" i="3" s="1"/>
  <c r="A112" i="3"/>
  <c r="M118" i="2"/>
  <c r="I113" i="3" s="1"/>
  <c r="E56" i="3" l="1"/>
  <c r="S61" i="2"/>
  <c r="M122" i="7"/>
  <c r="A122" i="7"/>
  <c r="M123" i="7" s="1"/>
  <c r="D56" i="3"/>
  <c r="F62" i="2"/>
  <c r="M119" i="2"/>
  <c r="I114" i="3" s="1"/>
  <c r="C113" i="3"/>
  <c r="A113" i="3"/>
  <c r="A119" i="2"/>
  <c r="G57" i="3" l="1"/>
  <c r="M120" i="2"/>
  <c r="A120" i="2"/>
  <c r="H62" i="2" l="1"/>
  <c r="F57" i="3"/>
  <c r="E62" i="2"/>
  <c r="G63" i="2" s="1"/>
  <c r="M121" i="2"/>
  <c r="A121" i="2"/>
  <c r="E57" i="3" l="1"/>
  <c r="S62" i="2"/>
  <c r="F63" i="2"/>
  <c r="D57" i="3"/>
  <c r="M122" i="2"/>
  <c r="A122" i="2"/>
  <c r="M123" i="2" s="1"/>
  <c r="G58" i="3" l="1"/>
  <c r="H63" i="2" l="1"/>
  <c r="E63" i="2"/>
  <c r="G64" i="2" s="1"/>
  <c r="F58" i="3"/>
  <c r="E58" i="3" l="1"/>
  <c r="S63" i="2"/>
  <c r="F64" i="2"/>
  <c r="D58" i="3"/>
  <c r="G59" i="3" l="1"/>
  <c r="H64" i="2" l="1"/>
  <c r="E64" i="2"/>
  <c r="G65" i="2" s="1"/>
  <c r="F59" i="3"/>
  <c r="E59" i="3" l="1"/>
  <c r="S64" i="2"/>
  <c r="F65" i="2"/>
  <c r="D59" i="3"/>
  <c r="G60" i="3" l="1"/>
  <c r="H65" i="2" l="1"/>
  <c r="E65" i="2"/>
  <c r="G66" i="2" s="1"/>
  <c r="F60" i="3"/>
  <c r="E60" i="3" l="1"/>
  <c r="S65" i="2"/>
  <c r="D60" i="3"/>
  <c r="F66" i="2"/>
  <c r="G61" i="3" l="1"/>
  <c r="H66" i="2" l="1"/>
  <c r="F61" i="3"/>
  <c r="E66" i="2"/>
  <c r="G67" i="2" s="1"/>
  <c r="E61" i="3" l="1"/>
  <c r="S66" i="2"/>
  <c r="D61" i="3"/>
  <c r="F67" i="2"/>
  <c r="G62" i="3" l="1"/>
  <c r="H67" i="2" l="1"/>
  <c r="F62" i="3"/>
  <c r="E67" i="2"/>
  <c r="G68" i="2" s="1"/>
  <c r="E62" i="3" l="1"/>
  <c r="S67" i="2"/>
  <c r="F68" i="2"/>
  <c r="D62" i="3"/>
  <c r="G63" i="3" l="1"/>
  <c r="H68" i="2" l="1"/>
  <c r="E68" i="2"/>
  <c r="G69" i="2" s="1"/>
  <c r="F63" i="3"/>
  <c r="E63" i="3" l="1"/>
  <c r="S68" i="2"/>
  <c r="F69" i="2"/>
  <c r="D63" i="3"/>
  <c r="G64" i="3" l="1"/>
  <c r="P182" i="3" l="1"/>
  <c r="H69" i="2"/>
  <c r="E69" i="2"/>
  <c r="G70" i="2" s="1"/>
  <c r="F64" i="3"/>
  <c r="E64" i="3" l="1"/>
  <c r="S69" i="2"/>
  <c r="F70" i="2"/>
  <c r="D64" i="3"/>
  <c r="G65" i="3" l="1"/>
  <c r="H70" i="2" l="1"/>
  <c r="P66" i="3" s="1"/>
  <c r="E70" i="2"/>
  <c r="G71" i="2" s="1"/>
  <c r="F65" i="3"/>
  <c r="E65" i="3" l="1"/>
  <c r="S70" i="2"/>
  <c r="F71" i="2"/>
  <c r="R71" i="2" s="1"/>
  <c r="Q66" i="3" s="1"/>
  <c r="D65" i="3"/>
  <c r="G66" i="3" l="1"/>
  <c r="H71" i="2" l="1"/>
  <c r="E71" i="2"/>
  <c r="G72" i="2" s="1"/>
  <c r="F66" i="3"/>
  <c r="E66" i="3" l="1"/>
  <c r="S71" i="2"/>
  <c r="D66" i="3"/>
  <c r="F72" i="2"/>
  <c r="G67" i="3" l="1"/>
  <c r="H72" i="2" l="1"/>
  <c r="F67" i="3"/>
  <c r="E72" i="2"/>
  <c r="G73" i="2" s="1"/>
  <c r="E67" i="3" l="1"/>
  <c r="S72" i="2"/>
  <c r="D67" i="3"/>
  <c r="F73" i="2"/>
  <c r="G68" i="3" l="1"/>
  <c r="H73" i="2" l="1"/>
  <c r="F68" i="3"/>
  <c r="E73" i="2"/>
  <c r="G74" i="2" s="1"/>
  <c r="E68" i="3" l="1"/>
  <c r="S73" i="2"/>
  <c r="F74" i="2"/>
  <c r="D68" i="3"/>
  <c r="G69" i="3" l="1"/>
  <c r="H74" i="2" l="1"/>
  <c r="E74" i="2"/>
  <c r="G75" i="2" s="1"/>
  <c r="F69" i="3"/>
  <c r="E69" i="3" l="1"/>
  <c r="S74" i="2"/>
  <c r="F75" i="2"/>
  <c r="D69" i="3"/>
  <c r="G70" i="3" l="1"/>
  <c r="H75" i="2" l="1"/>
  <c r="E75" i="2"/>
  <c r="G76" i="2" s="1"/>
  <c r="F70" i="3"/>
  <c r="E70" i="3" l="1"/>
  <c r="S75" i="2"/>
  <c r="F76" i="2"/>
  <c r="D70" i="3"/>
  <c r="G71" i="3" l="1"/>
  <c r="H76" i="2" l="1"/>
  <c r="E76" i="2"/>
  <c r="G77" i="2" s="1"/>
  <c r="F71" i="3"/>
  <c r="E71" i="3" l="1"/>
  <c r="S76" i="2"/>
  <c r="D71" i="3"/>
  <c r="F77" i="2"/>
  <c r="G72" i="3" l="1"/>
  <c r="H77" i="2" l="1"/>
  <c r="F72" i="3"/>
  <c r="E77" i="2"/>
  <c r="G78" i="2" s="1"/>
  <c r="E72" i="3" l="1"/>
  <c r="S77" i="2"/>
  <c r="D72" i="3"/>
  <c r="F78" i="2"/>
  <c r="G73" i="3" l="1"/>
  <c r="H78" i="2" l="1"/>
  <c r="F73" i="3"/>
  <c r="E78" i="2"/>
  <c r="G79" i="2" s="1"/>
  <c r="E73" i="3" l="1"/>
  <c r="S78" i="2"/>
  <c r="F79" i="2"/>
  <c r="D73" i="3"/>
  <c r="G74" i="3" l="1"/>
  <c r="H79" i="2" l="1"/>
  <c r="E79" i="2"/>
  <c r="G80" i="2" s="1"/>
  <c r="F74" i="3"/>
  <c r="E74" i="3" l="1"/>
  <c r="S79" i="2"/>
  <c r="F80" i="2"/>
  <c r="D74" i="3"/>
  <c r="G75" i="3" l="1"/>
  <c r="H80" i="2" l="1"/>
  <c r="E80" i="2"/>
  <c r="G81" i="2" s="1"/>
  <c r="F75" i="3"/>
  <c r="E75" i="3" l="1"/>
  <c r="S80" i="2"/>
  <c r="D75" i="3"/>
  <c r="F81" i="2"/>
  <c r="G76" i="3" l="1"/>
  <c r="P194" i="3" l="1"/>
  <c r="H81" i="2"/>
  <c r="F76" i="3"/>
  <c r="E81" i="2"/>
  <c r="G82" i="2" s="1"/>
  <c r="E76" i="3" l="1"/>
  <c r="S81" i="2"/>
  <c r="D76" i="3"/>
  <c r="F82" i="2"/>
  <c r="G77" i="3" l="1"/>
  <c r="H82" i="2" l="1"/>
  <c r="P78" i="3" s="1"/>
  <c r="F77" i="3"/>
  <c r="E82" i="2"/>
  <c r="G83" i="2" s="1"/>
  <c r="E77" i="3" l="1"/>
  <c r="S82" i="2"/>
  <c r="F83" i="2"/>
  <c r="R83" i="2" s="1"/>
  <c r="Q78" i="3" s="1"/>
  <c r="D77" i="3"/>
  <c r="G78" i="3" l="1"/>
  <c r="H83" i="2" l="1"/>
  <c r="E83" i="2"/>
  <c r="G84" i="2" s="1"/>
  <c r="F78" i="3"/>
  <c r="E78" i="3" l="1"/>
  <c r="S83" i="2"/>
  <c r="F84" i="2"/>
  <c r="D78" i="3"/>
  <c r="G79" i="3" l="1"/>
  <c r="H84" i="2" l="1"/>
  <c r="E84" i="2"/>
  <c r="G85" i="2" s="1"/>
  <c r="F79" i="3"/>
  <c r="E79" i="3" l="1"/>
  <c r="S84" i="2"/>
  <c r="F85" i="2"/>
  <c r="D79" i="3"/>
  <c r="G80" i="3" l="1"/>
  <c r="H85" i="2" l="1"/>
  <c r="E85" i="2"/>
  <c r="G86" i="2" s="1"/>
  <c r="F80" i="3"/>
  <c r="E80" i="3" l="1"/>
  <c r="S85" i="2"/>
  <c r="D80" i="3"/>
  <c r="F86" i="2"/>
  <c r="G81" i="3" l="1"/>
  <c r="H86" i="2" l="1"/>
  <c r="F81" i="3"/>
  <c r="E86" i="2"/>
  <c r="G87" i="2" s="1"/>
  <c r="E81" i="3" l="1"/>
  <c r="S86" i="2"/>
  <c r="D81" i="3"/>
  <c r="F87" i="2"/>
  <c r="G82" i="3" l="1"/>
  <c r="H87" i="2" l="1"/>
  <c r="F82" i="3"/>
  <c r="E87" i="2"/>
  <c r="G88" i="2" s="1"/>
  <c r="E82" i="3" l="1"/>
  <c r="S87" i="2"/>
  <c r="F88" i="2"/>
  <c r="D82" i="3"/>
  <c r="G83" i="3" l="1"/>
  <c r="H88" i="2" l="1"/>
  <c r="E88" i="2"/>
  <c r="G89" i="2" s="1"/>
  <c r="F83" i="3"/>
  <c r="E83" i="3" l="1"/>
  <c r="S88" i="2"/>
  <c r="F89" i="2"/>
  <c r="D83" i="3"/>
  <c r="G84" i="3" l="1"/>
  <c r="H89" i="2" l="1"/>
  <c r="E89" i="2"/>
  <c r="G90" i="2" s="1"/>
  <c r="F84" i="3"/>
  <c r="E84" i="3" l="1"/>
  <c r="S89" i="2"/>
  <c r="D84" i="3"/>
  <c r="F90" i="2"/>
  <c r="G85" i="3" l="1"/>
  <c r="H90" i="2" l="1"/>
  <c r="F85" i="3"/>
  <c r="E90" i="2"/>
  <c r="G91" i="2" s="1"/>
  <c r="E85" i="3" l="1"/>
  <c r="S90" i="2"/>
  <c r="D85" i="3"/>
  <c r="F91" i="2"/>
  <c r="G86" i="3" l="1"/>
  <c r="H91" i="2" l="1"/>
  <c r="F86" i="3"/>
  <c r="E91" i="2"/>
  <c r="G92" i="2" s="1"/>
  <c r="E86" i="3" l="1"/>
  <c r="S91" i="2"/>
  <c r="D86" i="3"/>
  <c r="F92" i="2"/>
  <c r="G87" i="3" l="1"/>
  <c r="H92" i="2" l="1"/>
  <c r="F87" i="3"/>
  <c r="E92" i="2"/>
  <c r="G93" i="2" s="1"/>
  <c r="E87" i="3" l="1"/>
  <c r="S92" i="2"/>
  <c r="F93" i="2"/>
  <c r="D87" i="3"/>
  <c r="G88" i="3" l="1"/>
  <c r="H93" i="2" l="1"/>
  <c r="F88" i="3"/>
  <c r="E93" i="2"/>
  <c r="G94" i="2" s="1"/>
  <c r="E88" i="3" l="1"/>
  <c r="S93" i="2"/>
  <c r="D88" i="3"/>
  <c r="F94" i="2"/>
  <c r="H94" i="2" l="1"/>
  <c r="G89" i="3"/>
  <c r="E89" i="3" l="1"/>
  <c r="S94" i="2"/>
  <c r="Q95" i="2" s="1"/>
  <c r="F89" i="3"/>
  <c r="E94" i="2"/>
  <c r="G95" i="2" s="1"/>
  <c r="B46" i="4" l="1"/>
  <c r="P90" i="3"/>
  <c r="F95" i="2"/>
  <c r="D89" i="3"/>
  <c r="R95" i="2" l="1"/>
  <c r="Q90" i="3" s="1"/>
  <c r="G90" i="3"/>
  <c r="H95" i="2" l="1"/>
  <c r="E90" i="3" s="1"/>
  <c r="F90" i="3"/>
  <c r="E95" i="2"/>
  <c r="G96" i="2" s="1"/>
  <c r="F96" i="2" s="1"/>
  <c r="F91" i="3" l="1"/>
  <c r="G91" i="3"/>
  <c r="D90" i="3"/>
  <c r="E96" i="2" l="1"/>
  <c r="H96" i="2"/>
  <c r="E91" i="3" s="1"/>
  <c r="G97" i="2" l="1"/>
  <c r="F97" i="2" s="1"/>
  <c r="D91" i="3"/>
  <c r="G92" i="3" l="1"/>
  <c r="H97" i="2"/>
  <c r="E92" i="3" s="1"/>
  <c r="F92" i="3"/>
  <c r="E97" i="2"/>
  <c r="G98" i="2" l="1"/>
  <c r="F98" i="2" s="1"/>
  <c r="D92" i="3"/>
  <c r="H98" i="2" l="1"/>
  <c r="E93" i="3" s="1"/>
  <c r="G93" i="3"/>
  <c r="F93" i="3" l="1"/>
  <c r="E98" i="2"/>
  <c r="G99" i="2" l="1"/>
  <c r="F99" i="2" s="1"/>
  <c r="D93" i="3"/>
  <c r="H99" i="2" l="1"/>
  <c r="E94" i="3" s="1"/>
  <c r="G94" i="3"/>
  <c r="F94" i="3" l="1"/>
  <c r="E99" i="2"/>
  <c r="G100" i="2" l="1"/>
  <c r="F100" i="2" s="1"/>
  <c r="D94" i="3"/>
  <c r="H100" i="2" l="1"/>
  <c r="E95" i="3" s="1"/>
  <c r="G95" i="3"/>
  <c r="F95" i="3" l="1"/>
  <c r="E100" i="2"/>
  <c r="G101" i="2" l="1"/>
  <c r="F101" i="2" s="1"/>
  <c r="D95" i="3"/>
  <c r="H101" i="2" l="1"/>
  <c r="E96" i="3" s="1"/>
  <c r="G96" i="3"/>
  <c r="F96" i="3" l="1"/>
  <c r="E101" i="2"/>
  <c r="G102" i="2" l="1"/>
  <c r="F102" i="2" s="1"/>
  <c r="D96" i="3"/>
  <c r="H102" i="2" l="1"/>
  <c r="E97" i="3" s="1"/>
  <c r="G97" i="3"/>
  <c r="F97" i="3" l="1"/>
  <c r="E102" i="2"/>
  <c r="G103" i="2" l="1"/>
  <c r="F103" i="2" s="1"/>
  <c r="D97" i="3"/>
  <c r="H103" i="2" l="1"/>
  <c r="E98" i="3" s="1"/>
  <c r="G98" i="3"/>
  <c r="F98" i="3" l="1"/>
  <c r="E103" i="2"/>
  <c r="G104" i="2" l="1"/>
  <c r="F104" i="2" s="1"/>
  <c r="D98" i="3"/>
  <c r="H104" i="2" l="1"/>
  <c r="E99" i="3" s="1"/>
  <c r="G99" i="3"/>
  <c r="F99" i="3" l="1"/>
  <c r="E104" i="2"/>
  <c r="G105" i="2" l="1"/>
  <c r="F105" i="2" s="1"/>
  <c r="D99" i="3"/>
  <c r="H105" i="2" l="1"/>
  <c r="E100" i="3" s="1"/>
  <c r="G100" i="3"/>
  <c r="F100" i="3" l="1"/>
  <c r="E105" i="2"/>
  <c r="G106" i="2" l="1"/>
  <c r="F106" i="2" s="1"/>
  <c r="D100" i="3"/>
  <c r="H106" i="2" l="1"/>
  <c r="E101" i="3" s="1"/>
  <c r="G101" i="3"/>
  <c r="F101" i="3" l="1"/>
  <c r="E106" i="2"/>
  <c r="G107" i="2" l="1"/>
  <c r="F107" i="2" s="1"/>
  <c r="D101" i="3"/>
  <c r="H107" i="2" l="1"/>
  <c r="E102" i="3" s="1"/>
  <c r="G102" i="3"/>
  <c r="F102" i="3" l="1"/>
  <c r="E107" i="2"/>
  <c r="G108" i="2" l="1"/>
  <c r="F108" i="2" s="1"/>
  <c r="D102" i="3"/>
  <c r="H108" i="2" l="1"/>
  <c r="E103" i="3" s="1"/>
  <c r="G103" i="3"/>
  <c r="F103" i="3" l="1"/>
  <c r="E108" i="2"/>
  <c r="G109" i="2" l="1"/>
  <c r="F109" i="2" s="1"/>
  <c r="D103" i="3"/>
  <c r="H109" i="2" l="1"/>
  <c r="E104" i="3" s="1"/>
  <c r="G104" i="3"/>
  <c r="F104" i="3" l="1"/>
  <c r="E109" i="2"/>
  <c r="G110" i="2" l="1"/>
  <c r="F110" i="2" s="1"/>
  <c r="D104" i="3"/>
  <c r="H110" i="2" l="1"/>
  <c r="E105" i="3" s="1"/>
  <c r="G105" i="3"/>
  <c r="F105" i="3" l="1"/>
  <c r="E110" i="2"/>
  <c r="G111" i="2" l="1"/>
  <c r="F111" i="2" s="1"/>
  <c r="D105" i="3"/>
  <c r="H111" i="2" l="1"/>
  <c r="E106" i="3" s="1"/>
  <c r="G106" i="3"/>
  <c r="F106" i="3" l="1"/>
  <c r="E111" i="2"/>
  <c r="G112" i="2" l="1"/>
  <c r="F112" i="2" s="1"/>
  <c r="D106" i="3"/>
  <c r="H112" i="2" l="1"/>
  <c r="E107" i="3" s="1"/>
  <c r="G107" i="3"/>
  <c r="F107" i="3" l="1"/>
  <c r="E112" i="2"/>
  <c r="G113" i="2" l="1"/>
  <c r="F113" i="2" s="1"/>
  <c r="D107" i="3"/>
  <c r="H113" i="2" l="1"/>
  <c r="E108" i="3" s="1"/>
  <c r="G108" i="3"/>
  <c r="F108" i="3" l="1"/>
  <c r="E113" i="2"/>
  <c r="G114" i="2" l="1"/>
  <c r="F114" i="2" s="1"/>
  <c r="D108" i="3"/>
  <c r="H114" i="2" l="1"/>
  <c r="E109" i="3" s="1"/>
  <c r="G109" i="3"/>
  <c r="F109" i="3" l="1"/>
  <c r="E114" i="2"/>
  <c r="G115" i="2" l="1"/>
  <c r="F115" i="2" s="1"/>
  <c r="D109" i="3"/>
  <c r="H115" i="2" l="1"/>
  <c r="E110" i="3" s="1"/>
  <c r="G110" i="3"/>
  <c r="F110" i="3" l="1"/>
  <c r="E115" i="2"/>
  <c r="G116" i="2" l="1"/>
  <c r="F116" i="2" s="1"/>
  <c r="D110" i="3"/>
  <c r="H116" i="2" l="1"/>
  <c r="E111" i="3" s="1"/>
  <c r="G111" i="3"/>
  <c r="F111" i="3" l="1"/>
  <c r="E116" i="2"/>
  <c r="G117" i="2" l="1"/>
  <c r="D111" i="3"/>
  <c r="F117" i="2" l="1"/>
  <c r="F118" i="2" s="1"/>
  <c r="G112" i="3"/>
  <c r="H117" i="2" l="1"/>
  <c r="E112" i="3" s="1"/>
  <c r="F119" i="2"/>
  <c r="F112" i="3"/>
  <c r="E117" i="2"/>
  <c r="G118" i="2" l="1"/>
  <c r="G119" i="2" s="1"/>
  <c r="D112" i="3"/>
  <c r="E118" i="2"/>
  <c r="D113" i="3" s="1"/>
  <c r="F114" i="3"/>
  <c r="F113" i="3"/>
  <c r="H118" i="2" l="1"/>
  <c r="E113" i="3" s="1"/>
  <c r="G113" i="3"/>
  <c r="R119" i="2"/>
  <c r="Q114" i="3" s="1"/>
  <c r="G114" i="3" l="1"/>
  <c r="H119" i="2"/>
  <c r="E114" i="3" s="1"/>
  <c r="Q119" i="2"/>
  <c r="P114" i="3" s="1"/>
  <c r="B45" i="4" l="1"/>
  <c r="B44" i="4" l="1"/>
  <c r="R83" i="7"/>
  <c r="Q194" i="3"/>
  <c r="R71" i="7"/>
  <c r="Q182" i="3"/>
  <c r="R47" i="7"/>
  <c r="F146" i="3"/>
  <c r="E35" i="7"/>
  <c r="G36" i="7" s="1"/>
  <c r="D146" i="3" l="1"/>
  <c r="F36" i="7"/>
  <c r="G147" i="3" l="1"/>
  <c r="E146" i="3"/>
  <c r="S35" i="7"/>
  <c r="F147" i="3"/>
  <c r="E36" i="7"/>
  <c r="G37" i="7" s="1"/>
  <c r="F37" i="7" s="1"/>
  <c r="H36" i="7"/>
  <c r="S36" i="7" s="1"/>
  <c r="G148" i="3" l="1"/>
  <c r="D147" i="3"/>
  <c r="E147" i="3"/>
  <c r="F148" i="3"/>
  <c r="H37" i="7"/>
  <c r="E148" i="3" s="1"/>
  <c r="E37" i="7"/>
  <c r="D148" i="3" s="1"/>
  <c r="F20" i="7"/>
  <c r="F22" i="7" s="1"/>
  <c r="G38" i="7" l="1"/>
  <c r="G149" i="3" s="1"/>
  <c r="S37" i="7"/>
  <c r="F38" i="7" l="1"/>
  <c r="E38" i="7" s="1"/>
  <c r="H38" i="7" l="1"/>
  <c r="E149" i="3" s="1"/>
  <c r="F149" i="3"/>
  <c r="G39" i="7"/>
  <c r="D149" i="3"/>
  <c r="S38" i="7" l="1"/>
  <c r="G150" i="3"/>
  <c r="F39" i="7"/>
  <c r="F150" i="3" l="1"/>
  <c r="E39" i="7"/>
  <c r="H39" i="7"/>
  <c r="D150" i="3" l="1"/>
  <c r="G40" i="7"/>
  <c r="S39" i="7"/>
  <c r="E150" i="3"/>
  <c r="G151" i="3" l="1"/>
  <c r="F40" i="7"/>
  <c r="F151" i="3" l="1"/>
  <c r="E40" i="7"/>
  <c r="H40" i="7"/>
  <c r="S40" i="7" l="1"/>
  <c r="E151" i="3"/>
  <c r="D151" i="3"/>
  <c r="G41" i="7"/>
  <c r="G152" i="3" l="1"/>
  <c r="F41" i="7"/>
  <c r="F152" i="3" l="1"/>
  <c r="E41" i="7"/>
  <c r="H41" i="7"/>
  <c r="D152" i="3" l="1"/>
  <c r="G42" i="7"/>
  <c r="S41" i="7"/>
  <c r="E152" i="3"/>
  <c r="G153" i="3" l="1"/>
  <c r="F42" i="7"/>
  <c r="F153" i="3" l="1"/>
  <c r="E42" i="7"/>
  <c r="H42" i="7"/>
  <c r="S42" i="7" l="1"/>
  <c r="E153" i="3"/>
  <c r="D153" i="3"/>
  <c r="G43" i="7"/>
  <c r="G154" i="3" l="1"/>
  <c r="F43" i="7"/>
  <c r="F154" i="3" l="1"/>
  <c r="E43" i="7"/>
  <c r="H43" i="7"/>
  <c r="E154" i="3" l="1"/>
  <c r="S43" i="7"/>
  <c r="G44" i="7"/>
  <c r="D154" i="3"/>
  <c r="G155" i="3" l="1"/>
  <c r="F44" i="7"/>
  <c r="F155" i="3" l="1"/>
  <c r="E44" i="7"/>
  <c r="H44" i="7"/>
  <c r="S44" i="7" l="1"/>
  <c r="E155" i="3"/>
  <c r="D155" i="3"/>
  <c r="G45" i="7"/>
  <c r="G156" i="3" l="1"/>
  <c r="F45" i="7"/>
  <c r="F156" i="3" l="1"/>
  <c r="E45" i="7"/>
  <c r="H45" i="7"/>
  <c r="S45" i="7" l="1"/>
  <c r="E156" i="3"/>
  <c r="D156" i="3"/>
  <c r="G46" i="7"/>
  <c r="G157" i="3" l="1"/>
  <c r="F46" i="7"/>
  <c r="F157" i="3" l="1"/>
  <c r="E46" i="7"/>
  <c r="H46" i="7"/>
  <c r="E157" i="3" l="1"/>
  <c r="S46" i="7"/>
  <c r="D157" i="3"/>
  <c r="G47" i="7"/>
  <c r="G158" i="3" l="1"/>
  <c r="F47" i="7"/>
  <c r="F158" i="3" l="1"/>
  <c r="E47" i="7"/>
  <c r="H47" i="7"/>
  <c r="E158" i="3" l="1"/>
  <c r="S47" i="7"/>
  <c r="G48" i="7"/>
  <c r="D158" i="3"/>
  <c r="G159" i="3" l="1"/>
  <c r="F48" i="7"/>
  <c r="F159" i="3" l="1"/>
  <c r="E48" i="7"/>
  <c r="H48" i="7"/>
  <c r="S48" i="7" l="1"/>
  <c r="E159" i="3"/>
  <c r="D159" i="3"/>
  <c r="G49" i="7"/>
  <c r="G160" i="3" l="1"/>
  <c r="F49" i="7"/>
  <c r="F160" i="3" l="1"/>
  <c r="E49" i="7"/>
  <c r="H49" i="7"/>
  <c r="E160" i="3" l="1"/>
  <c r="S49" i="7"/>
  <c r="D160" i="3"/>
  <c r="G50" i="7"/>
  <c r="G161" i="3" l="1"/>
  <c r="F50" i="7"/>
  <c r="F161" i="3" l="1"/>
  <c r="E50" i="7"/>
  <c r="H50" i="7"/>
  <c r="S50" i="7" l="1"/>
  <c r="E161" i="3"/>
  <c r="D161" i="3"/>
  <c r="G51" i="7"/>
  <c r="G162" i="3" l="1"/>
  <c r="F51" i="7"/>
  <c r="F162" i="3" l="1"/>
  <c r="E51" i="7"/>
  <c r="H51" i="7"/>
  <c r="E162" i="3" l="1"/>
  <c r="S51" i="7"/>
  <c r="D162" i="3"/>
  <c r="G52" i="7"/>
  <c r="G163" i="3" l="1"/>
  <c r="F52" i="7"/>
  <c r="F163" i="3" l="1"/>
  <c r="E52" i="7"/>
  <c r="H52" i="7"/>
  <c r="E163" i="3" l="1"/>
  <c r="S52" i="7"/>
  <c r="G53" i="7"/>
  <c r="D163" i="3"/>
  <c r="G164" i="3" l="1"/>
  <c r="F53" i="7"/>
  <c r="F164" i="3" l="1"/>
  <c r="E53" i="7"/>
  <c r="H53" i="7"/>
  <c r="E164" i="3" l="1"/>
  <c r="S53" i="7"/>
  <c r="D164" i="3"/>
  <c r="G54" i="7"/>
  <c r="G165" i="3" l="1"/>
  <c r="F54" i="7"/>
  <c r="F165" i="3" l="1"/>
  <c r="E54" i="7"/>
  <c r="H54" i="7"/>
  <c r="E165" i="3" l="1"/>
  <c r="S54" i="7"/>
  <c r="D165" i="3"/>
  <c r="G55" i="7"/>
  <c r="G166" i="3" l="1"/>
  <c r="F55" i="7"/>
  <c r="F166" i="3" l="1"/>
  <c r="E55" i="7"/>
  <c r="H55" i="7"/>
  <c r="E166" i="3" l="1"/>
  <c r="S55" i="7"/>
  <c r="D166" i="3"/>
  <c r="G56" i="7"/>
  <c r="G167" i="3" l="1"/>
  <c r="F56" i="7"/>
  <c r="F167" i="3" l="1"/>
  <c r="E56" i="7"/>
  <c r="H56" i="7"/>
  <c r="S56" i="7" l="1"/>
  <c r="E167" i="3"/>
  <c r="G57" i="7"/>
  <c r="D167" i="3"/>
  <c r="G168" i="3" l="1"/>
  <c r="F57" i="7"/>
  <c r="F168" i="3" l="1"/>
  <c r="E57" i="7"/>
  <c r="H57" i="7"/>
  <c r="S57" i="7" l="1"/>
  <c r="E168" i="3"/>
  <c r="G58" i="7"/>
  <c r="D168" i="3"/>
  <c r="G169" i="3" l="1"/>
  <c r="F58" i="7"/>
  <c r="F169" i="3" l="1"/>
  <c r="E58" i="7"/>
  <c r="H58" i="7"/>
  <c r="S58" i="7" l="1"/>
  <c r="E169" i="3"/>
  <c r="G59" i="7"/>
  <c r="D169" i="3"/>
  <c r="G170" i="3" l="1"/>
  <c r="F59" i="7"/>
  <c r="F170" i="3" l="1"/>
  <c r="E59" i="7"/>
  <c r="H59" i="7"/>
  <c r="E170" i="3" l="1"/>
  <c r="S59" i="7"/>
  <c r="D170" i="3"/>
  <c r="G60" i="7"/>
  <c r="G171" i="3" l="1"/>
  <c r="F60" i="7"/>
  <c r="F171" i="3" l="1"/>
  <c r="E60" i="7"/>
  <c r="H60" i="7"/>
  <c r="D171" i="3" l="1"/>
  <c r="G61" i="7"/>
  <c r="E171" i="3"/>
  <c r="S60" i="7"/>
  <c r="G172" i="3" l="1"/>
  <c r="F61" i="7"/>
  <c r="F172" i="3" l="1"/>
  <c r="E61" i="7"/>
  <c r="H61" i="7"/>
  <c r="S61" i="7" l="1"/>
  <c r="E172" i="3"/>
  <c r="G62" i="7"/>
  <c r="D172" i="3"/>
  <c r="G173" i="3" l="1"/>
  <c r="F62" i="7"/>
  <c r="F173" i="3" l="1"/>
  <c r="E62" i="7"/>
  <c r="H62" i="7"/>
  <c r="G63" i="7" l="1"/>
  <c r="D173" i="3"/>
  <c r="S62" i="7"/>
  <c r="E173" i="3"/>
  <c r="G174" i="3" l="1"/>
  <c r="F63" i="7"/>
  <c r="F174" i="3" l="1"/>
  <c r="E63" i="7"/>
  <c r="H63" i="7"/>
  <c r="S63" i="7" l="1"/>
  <c r="E174" i="3"/>
  <c r="D174" i="3"/>
  <c r="G64" i="7"/>
  <c r="G175" i="3" l="1"/>
  <c r="F64" i="7"/>
  <c r="F175" i="3" l="1"/>
  <c r="E64" i="7"/>
  <c r="H64" i="7"/>
  <c r="S64" i="7" l="1"/>
  <c r="E175" i="3"/>
  <c r="D175" i="3"/>
  <c r="G65" i="7"/>
  <c r="G176" i="3" l="1"/>
  <c r="F65" i="7"/>
  <c r="F176" i="3" l="1"/>
  <c r="E65" i="7"/>
  <c r="H65" i="7"/>
  <c r="S65" i="7" l="1"/>
  <c r="E176" i="3"/>
  <c r="G66" i="7"/>
  <c r="D176" i="3"/>
  <c r="G177" i="3" l="1"/>
  <c r="F66" i="7"/>
  <c r="F177" i="3" l="1"/>
  <c r="E66" i="7"/>
  <c r="H66" i="7"/>
  <c r="E177" i="3" l="1"/>
  <c r="S66" i="7"/>
  <c r="G67" i="7"/>
  <c r="D177" i="3"/>
  <c r="G178" i="3" l="1"/>
  <c r="F67" i="7"/>
  <c r="F178" i="3" l="1"/>
  <c r="E67" i="7"/>
  <c r="H67" i="7"/>
  <c r="E178" i="3" l="1"/>
  <c r="S67" i="7"/>
  <c r="D178" i="3"/>
  <c r="G68" i="7"/>
  <c r="G179" i="3" l="1"/>
  <c r="F68" i="7"/>
  <c r="F179" i="3" l="1"/>
  <c r="E68" i="7"/>
  <c r="H68" i="7"/>
  <c r="E179" i="3" l="1"/>
  <c r="S68" i="7"/>
  <c r="D179" i="3"/>
  <c r="G69" i="7"/>
  <c r="G180" i="3" l="1"/>
  <c r="F69" i="7"/>
  <c r="F180" i="3" l="1"/>
  <c r="E69" i="7"/>
  <c r="H69" i="7"/>
  <c r="S69" i="7" l="1"/>
  <c r="E180" i="3"/>
  <c r="D180" i="3"/>
  <c r="G70" i="7"/>
  <c r="G181" i="3" l="1"/>
  <c r="F70" i="7"/>
  <c r="F181" i="3" l="1"/>
  <c r="E70" i="7"/>
  <c r="H70" i="7"/>
  <c r="S70" i="7" l="1"/>
  <c r="E181" i="3"/>
  <c r="G71" i="7"/>
  <c r="D181" i="3"/>
  <c r="G182" i="3" l="1"/>
  <c r="F71" i="7"/>
  <c r="F182" i="3" l="1"/>
  <c r="E71" i="7"/>
  <c r="H71" i="7"/>
  <c r="E182" i="3" l="1"/>
  <c r="S71" i="7"/>
  <c r="D182" i="3"/>
  <c r="G72" i="7"/>
  <c r="G183" i="3" l="1"/>
  <c r="F72" i="7"/>
  <c r="F183" i="3" l="1"/>
  <c r="E72" i="7"/>
  <c r="H72" i="7"/>
  <c r="E183" i="3" l="1"/>
  <c r="S72" i="7"/>
  <c r="D183" i="3"/>
  <c r="G73" i="7"/>
  <c r="G184" i="3" l="1"/>
  <c r="F73" i="7"/>
  <c r="F184" i="3" l="1"/>
  <c r="E73" i="7"/>
  <c r="H73" i="7"/>
  <c r="S73" i="7" l="1"/>
  <c r="E184" i="3"/>
  <c r="G74" i="7"/>
  <c r="D184" i="3"/>
  <c r="G185" i="3" l="1"/>
  <c r="F74" i="7"/>
  <c r="F185" i="3" l="1"/>
  <c r="E74" i="7"/>
  <c r="H74" i="7"/>
  <c r="E185" i="3" l="1"/>
  <c r="S74" i="7"/>
  <c r="G75" i="7"/>
  <c r="D185" i="3"/>
  <c r="G186" i="3" l="1"/>
  <c r="F75" i="7"/>
  <c r="F186" i="3" l="1"/>
  <c r="E75" i="7"/>
  <c r="H75" i="7"/>
  <c r="S75" i="7" l="1"/>
  <c r="E186" i="3"/>
  <c r="D186" i="3"/>
  <c r="G76" i="7"/>
  <c r="G187" i="3" l="1"/>
  <c r="F76" i="7"/>
  <c r="H76" i="7" s="1"/>
  <c r="E187" i="3" l="1"/>
  <c r="S76" i="7"/>
  <c r="F187" i="3"/>
  <c r="E76" i="7"/>
  <c r="D187" i="3" l="1"/>
  <c r="G77" i="7"/>
  <c r="G188" i="3" l="1"/>
  <c r="F77" i="7"/>
  <c r="F188" i="3" l="1"/>
  <c r="E77" i="7"/>
  <c r="H77" i="7"/>
  <c r="E188" i="3" l="1"/>
  <c r="S77" i="7"/>
  <c r="D188" i="3"/>
  <c r="G78" i="7"/>
  <c r="G189" i="3" l="1"/>
  <c r="F78" i="7"/>
  <c r="F189" i="3" l="1"/>
  <c r="E78" i="7"/>
  <c r="H78" i="7"/>
  <c r="D189" i="3" l="1"/>
  <c r="G79" i="7"/>
  <c r="S78" i="7"/>
  <c r="E189" i="3"/>
  <c r="G190" i="3" l="1"/>
  <c r="F79" i="7"/>
  <c r="F190" i="3" l="1"/>
  <c r="E79" i="7"/>
  <c r="H79" i="7"/>
  <c r="E190" i="3" l="1"/>
  <c r="S79" i="7"/>
  <c r="G80" i="7"/>
  <c r="D190" i="3"/>
  <c r="G191" i="3" l="1"/>
  <c r="F80" i="7"/>
  <c r="F191" i="3" l="1"/>
  <c r="E80" i="7"/>
  <c r="H80" i="7"/>
  <c r="S80" i="7" l="1"/>
  <c r="E191" i="3"/>
  <c r="D191" i="3"/>
  <c r="G81" i="7"/>
  <c r="G192" i="3" l="1"/>
  <c r="F81" i="7"/>
  <c r="F192" i="3" l="1"/>
  <c r="E81" i="7"/>
  <c r="H81" i="7"/>
  <c r="E192" i="3" l="1"/>
  <c r="S81" i="7"/>
  <c r="G82" i="7"/>
  <c r="D192" i="3"/>
  <c r="G193" i="3" l="1"/>
  <c r="F82" i="7"/>
  <c r="F193" i="3" l="1"/>
  <c r="E82" i="7"/>
  <c r="H82" i="7"/>
  <c r="S82" i="7" l="1"/>
  <c r="E193" i="3"/>
  <c r="D193" i="3"/>
  <c r="G83" i="7"/>
  <c r="G194" i="3" l="1"/>
  <c r="F83" i="7"/>
  <c r="F194" i="3" l="1"/>
  <c r="E83" i="7"/>
  <c r="H83" i="7"/>
  <c r="S83" i="7" l="1"/>
  <c r="E194" i="3"/>
  <c r="D194" i="3"/>
  <c r="G84" i="7"/>
  <c r="G195" i="3" l="1"/>
  <c r="F84" i="7"/>
  <c r="F195" i="3" l="1"/>
  <c r="E84" i="7"/>
  <c r="H84" i="7"/>
  <c r="S84" i="7" l="1"/>
  <c r="E195" i="3"/>
  <c r="G85" i="7"/>
  <c r="D195" i="3"/>
  <c r="G196" i="3" l="1"/>
  <c r="F85" i="7"/>
  <c r="F196" i="3" l="1"/>
  <c r="E85" i="7"/>
  <c r="H85" i="7"/>
  <c r="E196" i="3" l="1"/>
  <c r="S85" i="7"/>
  <c r="G86" i="7"/>
  <c r="D196" i="3"/>
  <c r="G197" i="3" l="1"/>
  <c r="F86" i="7"/>
  <c r="F197" i="3" l="1"/>
  <c r="E86" i="7"/>
  <c r="H86" i="7"/>
  <c r="E197" i="3" l="1"/>
  <c r="S86" i="7"/>
  <c r="G87" i="7"/>
  <c r="D197" i="3"/>
  <c r="G198" i="3" l="1"/>
  <c r="F87" i="7"/>
  <c r="F198" i="3" l="1"/>
  <c r="E87" i="7"/>
  <c r="H87" i="7"/>
  <c r="E198" i="3" l="1"/>
  <c r="S87" i="7"/>
  <c r="D198" i="3"/>
  <c r="G88" i="7"/>
  <c r="G199" i="3" l="1"/>
  <c r="F88" i="7"/>
  <c r="F199" i="3" l="1"/>
  <c r="E88" i="7"/>
  <c r="H88" i="7"/>
  <c r="S88" i="7" l="1"/>
  <c r="E199" i="3"/>
  <c r="D199" i="3"/>
  <c r="G89" i="7"/>
  <c r="G200" i="3" l="1"/>
  <c r="F89" i="7"/>
  <c r="F200" i="3" l="1"/>
  <c r="E89" i="7"/>
  <c r="H89" i="7"/>
  <c r="S89" i="7" l="1"/>
  <c r="E200" i="3"/>
  <c r="D200" i="3"/>
  <c r="G90" i="7"/>
  <c r="G201" i="3" l="1"/>
  <c r="F90" i="7"/>
  <c r="F201" i="3" l="1"/>
  <c r="E90" i="7"/>
  <c r="H90" i="7"/>
  <c r="S90" i="7" l="1"/>
  <c r="E201" i="3"/>
  <c r="G91" i="7"/>
  <c r="D201" i="3"/>
  <c r="G202" i="3" l="1"/>
  <c r="F91" i="7"/>
  <c r="F202" i="3" l="1"/>
  <c r="E91" i="7"/>
  <c r="H91" i="7"/>
  <c r="S91" i="7" l="1"/>
  <c r="E202" i="3"/>
  <c r="G92" i="7"/>
  <c r="D202" i="3"/>
  <c r="G203" i="3" l="1"/>
  <c r="F92" i="7"/>
  <c r="F203" i="3" l="1"/>
  <c r="E92" i="7"/>
  <c r="H92" i="7"/>
  <c r="E203" i="3" l="1"/>
  <c r="S92" i="7"/>
  <c r="D203" i="3"/>
  <c r="G93" i="7"/>
  <c r="G204" i="3" l="1"/>
  <c r="F93" i="7"/>
  <c r="F204" i="3" l="1"/>
  <c r="F94" i="7"/>
  <c r="E93" i="7"/>
  <c r="H93" i="7"/>
  <c r="S93" i="7" l="1"/>
  <c r="E204" i="3"/>
  <c r="G94" i="7"/>
  <c r="E94" i="7"/>
  <c r="D205" i="3" s="1"/>
  <c r="D204" i="3"/>
  <c r="F205" i="3"/>
  <c r="F95" i="7"/>
  <c r="F206" i="3" s="1"/>
  <c r="H94" i="7" l="1"/>
  <c r="G205" i="3"/>
  <c r="G95" i="7"/>
  <c r="R95" i="7" l="1"/>
  <c r="Q206" i="3" s="1"/>
  <c r="B44" i="5" s="1"/>
  <c r="B43" i="5" s="1"/>
  <c r="G206" i="3"/>
  <c r="E205" i="3"/>
  <c r="S94" i="7"/>
  <c r="Q95" i="7" s="1"/>
  <c r="H95" i="7"/>
  <c r="E206" i="3" s="1"/>
  <c r="P206" i="3" l="1"/>
  <c r="B45" i="5"/>
</calcChain>
</file>

<file path=xl/comments1.xml><?xml version="1.0" encoding="utf-8"?>
<comments xmlns="http://schemas.openxmlformats.org/spreadsheetml/2006/main">
  <authors>
    <author>Lashniev Georgii Sergiiovych</author>
    <author>Safonov Sergii Viktorovych</author>
  </authors>
  <commentList>
    <comment ref="Q6" authorId="0" shapeId="0">
      <text>
        <r>
          <rPr>
            <b/>
            <sz val="8"/>
            <color indexed="81"/>
            <rFont val="Tahoma"/>
            <family val="2"/>
            <charset val="204"/>
          </rPr>
          <t>0,1% від суми застави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7" authorId="1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флаєру з умовами кредитування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9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1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comments2.xml><?xml version="1.0" encoding="utf-8"?>
<comments xmlns="http://schemas.openxmlformats.org/spreadsheetml/2006/main">
  <authors>
    <author>Lashniev Georgii Sergiiovych</author>
    <author>Safonov Sergii Viktorovych</author>
  </authors>
  <commentList>
    <comment ref="Q6" authorId="0" shapeId="0">
      <text>
        <r>
          <rPr>
            <b/>
            <sz val="8"/>
            <color indexed="81"/>
            <rFont val="Tahoma"/>
            <family val="2"/>
            <charset val="204"/>
          </rPr>
          <t>0,1% від суми застави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7" authorId="1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флаєру з умовами кредитування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9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1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<sst xmlns="http://schemas.openxmlformats.org/spreadsheetml/2006/main" count="804" uniqueCount="534">
  <si>
    <r>
      <t>1.</t>
    </r>
    <r>
      <rPr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кредитодавця</t>
    </r>
  </si>
  <si>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</si>
  <si>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</si>
  <si>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r>
      <t xml:space="preserve">Адреса Банку: </t>
    </r>
    <r>
      <rPr>
        <sz val="9"/>
        <color theme="1"/>
        <rFont val="Times New Roman"/>
        <family val="1"/>
        <charset val="204"/>
      </rPr>
      <t>Україна, м. Київ, Кловський узвіз, 9\2</t>
    </r>
  </si>
  <si>
    <t>Адреса відділення Банку:</t>
  </si>
  <si>
    <t>Ліцензія/Свідоцтво</t>
  </si>
  <si>
    <t>Ліцензія Національного банку України</t>
  </si>
  <si>
    <t>Номер контактного телефону</t>
  </si>
  <si>
    <t>0 800 500 450 </t>
  </si>
  <si>
    <t>Адреса електронної пошти</t>
  </si>
  <si>
    <t>bank@pravex.kiev.ua  </t>
  </si>
  <si>
    <t>Адреса офіційного веб-сайту</t>
  </si>
  <si>
    <r>
      <t>www.pravex.com.ua</t>
    </r>
    <r>
      <rPr>
        <sz val="9"/>
        <color theme="1"/>
        <rFont val="Times New Roman"/>
        <family val="1"/>
        <charset val="204"/>
      </rPr>
      <t> 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</si>
  <si>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кредитного посередника – не залучається</t>
    </r>
  </si>
  <si>
    <t>3. Основні умови кредитування з урахуванням побажань споживача</t>
  </si>
  <si>
    <t>Тип кредиту</t>
  </si>
  <si>
    <t>Сума кредиту, грн.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</si>
  <si>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</si>
  <si>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</si>
  <si>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</si>
  <si>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</si>
  <si>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ні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</si>
  <si>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</si>
  <si>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Процентна ставка, відсотків річних</t>
  </si>
  <si>
    <t>Тип процентної ставки</t>
  </si>
  <si>
    <t>Порядок зміни змінюваної процентної ставки</t>
  </si>
  <si>
    <t>Платежі за додаткові та супутні послуги кредитодавця, обов'язкові для укладання договору, грн.:</t>
  </si>
  <si>
    <t>Зазначаються розмір платежу та база його розрахунку</t>
  </si>
  <si>
    <t>Щомісячна комісія за обслуговування кредиту</t>
  </si>
  <si>
    <t>Розрахунково-касове обслуговування кредиту (річне/ щомісячне)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</si>
  <si>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</si>
  <si>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</si>
  <si>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</si>
  <si>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</si>
  <si>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</si>
  <si>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</si>
  <si>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</si>
  <si>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</si>
  <si>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</si>
  <si>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r>
      <t>Наслідки прострочення виконання та/або невиконання зобов'язань за договором про споживчий кредит:</t>
    </r>
    <r>
      <rPr>
        <sz val="8"/>
        <color theme="1"/>
        <rFont val="Calibri"/>
        <family val="2"/>
        <charset val="204"/>
        <scheme val="minor"/>
      </rPr>
      <t> </t>
    </r>
  </si>
  <si>
    <t>пеня</t>
  </si>
  <si>
    <t>Подвійна облікова ставка НБУ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</si>
  <si>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</si>
  <si>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</si>
  <si>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</si>
  <si>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</si>
  <si>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споживчого кредиту з оформленням відповідного документа.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</si>
  <si>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</si>
  <si>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</si>
  <si>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</si>
  <si>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</si>
  <si>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</si>
  <si>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</si>
  <si>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</si>
  <si>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Дата</t>
  </si>
  <si>
    <t>Вартість автомобіля, грн</t>
  </si>
  <si>
    <t>Одноразова комісія за надання кредиту, грн</t>
  </si>
  <si>
    <t>Перший внесок, грн</t>
  </si>
  <si>
    <t>Додаткові витрати, повязані з оформленням кредиту</t>
  </si>
  <si>
    <t>Перший внесок,%</t>
  </si>
  <si>
    <t>Сумма кредиту, грн</t>
  </si>
  <si>
    <t>Строк кредиту, міс</t>
  </si>
  <si>
    <t>Відсоткова ставка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</si>
  <si>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</si>
  <si>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</si>
  <si>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</si>
  <si>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</si>
  <si>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</si>
  <si>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</si>
  <si>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</si>
  <si>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</si>
  <si>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Реальна відсоткова ставка, %</t>
  </si>
  <si>
    <t>споживчий кредит</t>
  </si>
  <si>
    <t xml:space="preserve"> +3% річних до діючої річної ставки по кредиту</t>
  </si>
  <si>
    <t>ПМ</t>
  </si>
  <si>
    <t>Додаток 1 до договору кредиту №_____ від____________</t>
  </si>
  <si>
    <t>Одноразова комісія за надання кредиту від початкової суми кредиту:</t>
  </si>
  <si>
    <t>Сума кредиту</t>
  </si>
  <si>
    <t>Дата отримання кредиту</t>
  </si>
  <si>
    <t>Дата погашення кредиту</t>
  </si>
  <si>
    <t>Строк кредитування, місяців</t>
  </si>
  <si>
    <t xml:space="preserve">Погашенння основної суми кредиту: </t>
  </si>
  <si>
    <t>згідно графіку</t>
  </si>
  <si>
    <t>Погашення відсотків по кредиту:</t>
  </si>
  <si>
    <t>щомісячно</t>
  </si>
  <si>
    <t>Відсоткова ставка *:</t>
  </si>
  <si>
    <t>Діє з*</t>
  </si>
  <si>
    <t>% ставка*</t>
  </si>
  <si>
    <t>Маржа*</t>
  </si>
  <si>
    <t>Індекс*</t>
  </si>
  <si>
    <r>
      <t>Орієнтовна</t>
    </r>
    <r>
      <rPr>
        <b/>
        <sz val="9"/>
        <color indexed="8"/>
        <rFont val="Arial"/>
        <family val="2"/>
        <charset val="204"/>
      </rPr>
      <t xml:space="preserve"> сума платежу за розрахунковий період</t>
    </r>
  </si>
  <si>
    <t>В тому числі:</t>
  </si>
  <si>
    <t>Загальна вартість кредиту, грн</t>
  </si>
  <si>
    <t xml:space="preserve">Одноразова комісія за надання кредиту </t>
  </si>
  <si>
    <t>Всього</t>
  </si>
  <si>
    <t>* даний розділ використовується в разі змінної ставки по кредиту</t>
  </si>
  <si>
    <t>кредит</t>
  </si>
  <si>
    <t>за власні кошти</t>
  </si>
  <si>
    <t>Комісія за надання кредиту, % від суми кредиту</t>
  </si>
  <si>
    <t>АТ «ПРАВЕКС БАНК»</t>
  </si>
  <si>
    <t>від 18.04.2018 № 7</t>
  </si>
  <si>
    <t>Дата початку плаваючої ставки</t>
  </si>
  <si>
    <t>Маржа</t>
  </si>
  <si>
    <t>ставка</t>
  </si>
  <si>
    <t>Діючий Індекс UIRD (12міс у гривні)</t>
  </si>
  <si>
    <r>
      <t xml:space="preserve">Комісії банка, </t>
    </r>
    <r>
      <rPr>
        <sz val="11"/>
        <color theme="0"/>
        <rFont val="Calibri"/>
        <family val="2"/>
        <charset val="204"/>
        <scheme val="minor"/>
      </rPr>
      <t>% від суми кредиту</t>
    </r>
  </si>
  <si>
    <t>Реальна річна процентна ставка, %</t>
  </si>
  <si>
    <t>Загальна вартість кредиту, грн.</t>
  </si>
  <si>
    <t>відсутній</t>
  </si>
  <si>
    <t>Таблиця обчислення орієнтовної вартості споживчого кредиту</t>
  </si>
  <si>
    <t>так</t>
  </si>
  <si>
    <t>Розрахунково-касове обслуговування кредиту за весь строк кредиту</t>
  </si>
  <si>
    <t>Розрахунково-касове обслуговування кредиту за весь строк кредиту, грн</t>
  </si>
  <si>
    <t>Таблиця обчислення загальної вартості споживчого кредиту  для позичальника (споживача) та реальної річної процентної ставки за кредитом, в тому числі Графік платежів за кредитом</t>
  </si>
  <si>
    <t>на споживчі цілі</t>
  </si>
  <si>
    <t xml:space="preserve">Безготівковим шляхом на поточний рахунок </t>
  </si>
  <si>
    <t>Фіксована</t>
  </si>
  <si>
    <t>процентна ставка, яка застосовується при невиконанні зобов'язання щодо повернення кредиту (за кожне порушеня)</t>
  </si>
  <si>
    <t>порука (якщо було прийнято по клієнту відповідне рішення)</t>
  </si>
  <si>
    <t>Розрахунково-касове обслуговування кредиту, грн</t>
  </si>
  <si>
    <t>Платежі за додаткові та супутні послуги третіх осіб, обов'язкові для укладення договору/отримання кредиту, грн:</t>
  </si>
  <si>
    <t>1. Псолуги нотаріуса</t>
  </si>
  <si>
    <t>2. Посулуги оцінювача</t>
  </si>
  <si>
    <t>3. Послуга страховика</t>
  </si>
  <si>
    <t>4. Інші послуги третіх осіб</t>
  </si>
  <si>
    <t>Комісія банка за зняття коштів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</si>
  <si>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</si>
  <si>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</si>
  <si>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</si>
  <si>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</si>
  <si>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</si>
  <si>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банку</t>
  </si>
  <si>
    <t>Комісія банка за зняття коштів, % від суми кредиту</t>
  </si>
  <si>
    <t>Комісія банка за зняття коштів, грн</t>
  </si>
  <si>
    <t>послуги нотаріуса, грн</t>
  </si>
  <si>
    <t>послуги оцінювача,грн</t>
  </si>
  <si>
    <t>послуги страховика,%/грн</t>
  </si>
  <si>
    <t>страхування життя</t>
  </si>
  <si>
    <t>страхування від НВ</t>
  </si>
  <si>
    <t>інші послуги третіх осіб, грн</t>
  </si>
  <si>
    <t>Інші послуги банку, грн</t>
  </si>
  <si>
    <t>Послуги третіх осіб:</t>
  </si>
  <si>
    <t>Тарифи Банку та третіх осіб:</t>
  </si>
  <si>
    <t>Надається у вигляді графіку платежів, у якому визначаються кількість, розмір платежів та періодичність їх внесення згідно Додатку 1 до договору споживчого кредиту "Таблиця обчислення загальної вартості споживчого кредиту  для позичальника (споживача) та реальної річної процентної ставки за кредитом, в тому числі Графік платежів за кредитом"</t>
  </si>
  <si>
    <t>Строк кредитування</t>
  </si>
  <si>
    <t>4. Інформація щодо орієнтовної реальної річної процентної ставки та орієнтовної загальної вартості кредиту для споживача</t>
  </si>
  <si>
    <t>Найменування кредитного посередника</t>
  </si>
  <si>
    <t>*Інформація не заповнюється, у звязку з відсутністю кредитного посередника при наданні Банком кредиту</t>
  </si>
  <si>
    <t>Місцезнаходження</t>
  </si>
  <si>
    <t>Адреса офіційного веб-сайту*</t>
  </si>
  <si>
    <t xml:space="preserve"> міс.</t>
  </si>
  <si>
    <t>не заповнються у звязку з фіксованим типом ставки</t>
  </si>
  <si>
    <t>Застереження: витрати на такі послуги можуть змінюватися протягом строку дії договору про споживчий кредит</t>
  </si>
  <si>
    <t>[якщо платежі за послуги кредитодавця, повязані з отриманням, обслуговуванням і поверненням кредиту, є періодичними]</t>
  </si>
  <si>
    <t>Платежі за послуги кредитного посередника, що підлягають сплаті споживачем, грн.*</t>
  </si>
  <si>
    <t>* не заповнюється, у звязку з відсутністю кредитного посередника при наданні Банком кредиту</t>
  </si>
  <si>
    <t>[зазначаються розмір платежу, база його розрахунку та умови його застосування]</t>
  </si>
  <si>
    <t>штрафи</t>
  </si>
  <si>
    <t xml:space="preserve">м. Київ </t>
  </si>
  <si>
    <t xml:space="preserve">Ватутінське відділення </t>
  </si>
  <si>
    <t>081   15326804226768260081</t>
  </si>
  <si>
    <t>Івашин 
Дмитро Миколайович</t>
  </si>
  <si>
    <t>050-981-06-79, 
097-983-11-31</t>
  </si>
  <si>
    <t>02217, м. Київ, 
просп.Маяковського, 8</t>
  </si>
  <si>
    <t>8 Mayakovskiy Boulevard, Kyiv, 02217</t>
  </si>
  <si>
    <t>4223 - директор, 
4225, 4226, 4227, 4228, 4229, 4231</t>
  </si>
  <si>
    <t xml:space="preserve">(044)363-03-67
(044)363-03-68
</t>
  </si>
  <si>
    <t>Пн. – Пт.: 8:45 – 17:45,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</si>
  <si>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Виноградарське відділення </t>
  </si>
  <si>
    <t>048   15326804226768260048</t>
  </si>
  <si>
    <t>Педченко 
Віра Володимирівна</t>
  </si>
  <si>
    <t>050-809-46-47</t>
  </si>
  <si>
    <t>04215, м. Київ, 
просп. Свободи, 15/1</t>
  </si>
  <si>
    <t>15/1 Svobody Boulevard, Kyiv, 04215</t>
  </si>
  <si>
    <t>4233 - директор,
4235,4236,4237</t>
  </si>
  <si>
    <t xml:space="preserve">(044)363-02-28
(044)363-02-29
</t>
  </si>
  <si>
    <t>Відділення 
„Героїв Дніпра”</t>
  </si>
  <si>
    <t>050   15326804226768260050</t>
  </si>
  <si>
    <t>Кузьменко 
Юрій Миколайович</t>
  </si>
  <si>
    <t>097-386-76-31</t>
  </si>
  <si>
    <t>04205, м. Київ, 
вул. Маршала Тимошенка, 21, корп.4</t>
  </si>
  <si>
    <t>21 Marshal Tymoshenko St., Block 4, Kyiv, 04205</t>
  </si>
  <si>
    <t>4272 - директор,
4268, 4269, 4270, 4271, , 4273, 4274</t>
  </si>
  <si>
    <t xml:space="preserve">(044)363-07-58
(044)363-07-59
</t>
  </si>
  <si>
    <t>Деміївське відділення</t>
  </si>
  <si>
    <t>068   15326804226768260068</t>
  </si>
  <si>
    <t>т.в.о.  Резанова 
Наталія Миколаївна</t>
  </si>
  <si>
    <t>099-558-86-80</t>
  </si>
  <si>
    <t>03039, м. Київ, 
Голосіївський просп., 48</t>
  </si>
  <si>
    <t>48 Holosiivskyi Boulevard, Kyiv, 03039</t>
  </si>
  <si>
    <t>4300 - директор,
4297, 4299,4302,4303, 4304</t>
  </si>
  <si>
    <t xml:space="preserve">(044)363-06-91
(044)363-06-92
</t>
  </si>
  <si>
    <t xml:space="preserve">Залізничне відділення </t>
  </si>
  <si>
    <t>047   15326804226768260047</t>
  </si>
  <si>
    <t>Майкін 
Сергій Миколайович</t>
  </si>
  <si>
    <t>066-117-23-40</t>
  </si>
  <si>
    <t>03186, м. Київ, 
бульв. Чоколівський, 9/13</t>
  </si>
  <si>
    <t>9/13 Chokolivskyi Boulevard, Kyiv, 03186</t>
  </si>
  <si>
    <t>4332- директор,
4330,4331,4333,4334,4335</t>
  </si>
  <si>
    <t xml:space="preserve">(044)363-07-08
(044)363-07-09
</t>
  </si>
  <si>
    <t xml:space="preserve">Індустріальне відділення </t>
  </si>
  <si>
    <t>057   15326804226768260057</t>
  </si>
  <si>
    <t>Близнюк 
Олена Володимирівна</t>
  </si>
  <si>
    <t>050-590-21-78</t>
  </si>
  <si>
    <t xml:space="preserve">01032, м. Київ, 
вул. Саксаганського, 120 </t>
  </si>
  <si>
    <t>120 Saksahanskoho St., Kyiv, 01032</t>
  </si>
  <si>
    <t>4344 - директор,
4345,4346,4347,4348,4349</t>
  </si>
  <si>
    <t xml:space="preserve">
(044)363-02-56
(044)363-02-57
</t>
  </si>
  <si>
    <t xml:space="preserve">Інститутське відділення </t>
  </si>
  <si>
    <t>102  
15326804226768260066</t>
  </si>
  <si>
    <t>Літенко 
Ірина Олексіївна</t>
  </si>
  <si>
    <t xml:space="preserve">  067-773-01-98,
093-993-64-68</t>
  </si>
  <si>
    <t>01021, м. Київ, 
вул. Інститутська, 27/6</t>
  </si>
  <si>
    <t>27/6 Instytutska St., Kyiv, 01021</t>
  </si>
  <si>
    <t>4353 - директор,
 4354,  4355, 4356,   4357</t>
  </si>
  <si>
    <t xml:space="preserve">
(044)363-02-36
(044)363-02-37
</t>
  </si>
  <si>
    <t xml:space="preserve">Лівобережне відділення  </t>
  </si>
  <si>
    <t>052   15326804226768260052</t>
  </si>
  <si>
    <t>Нечупій 
Ольга Віталіївна</t>
  </si>
  <si>
    <t>096-701-38-42</t>
  </si>
  <si>
    <t xml:space="preserve">02100, м. Київ, 
вул. Попудренка, 18 </t>
  </si>
  <si>
    <t>18 Popudrenko St., Kyiv, 02100</t>
  </si>
  <si>
    <t>4531- директор,
4526, 4527,4528,4529,4530,, 4532</t>
  </si>
  <si>
    <t>(044)363-02-78, 
(044)363-02-79</t>
  </si>
  <si>
    <t xml:space="preserve">Лук’янівське відділення </t>
  </si>
  <si>
    <t>034   15326804226768260034</t>
  </si>
  <si>
    <t>Дорошенко 
Леся Василівна</t>
  </si>
  <si>
    <t>093-062-81-35</t>
  </si>
  <si>
    <t>04053, м. Київ, 
вул. Січових Стрільців, 7</t>
  </si>
  <si>
    <t>7 Sichovych Striltsiv St., Kyiv, 04053</t>
  </si>
  <si>
    <t xml:space="preserve">4410- директор, 
  4407, 4408, 4409, 4411, 4412, 4413, 4414, 4415 </t>
  </si>
  <si>
    <t xml:space="preserve">(044)363-07-16
(044)363-07-17
</t>
  </si>
  <si>
    <t xml:space="preserve">Либідське відділення </t>
  </si>
  <si>
    <t>079   15326804226768260079</t>
  </si>
  <si>
    <t>Галайба 
Тетяна Петрівна</t>
  </si>
  <si>
    <t>067-907-97-15</t>
  </si>
  <si>
    <t xml:space="preserve">03150, м. Київ,вул. Антоновича (Горького), 155 </t>
  </si>
  <si>
    <t>155 Antonovych (Gorkiy) St., Kyiv, 03150</t>
  </si>
  <si>
    <t>4420 -директор,
  4422, 4423, 4424, 4425</t>
  </si>
  <si>
    <t xml:space="preserve">(044)363-07-01
(044)363-07-02
</t>
  </si>
  <si>
    <t xml:space="preserve">Осокорківське відділення </t>
  </si>
  <si>
    <t>085   15326804226768260085</t>
  </si>
  <si>
    <t xml:space="preserve">Павелко 
Олена Олександрівна </t>
  </si>
  <si>
    <t>067-737-67-24</t>
  </si>
  <si>
    <t>02095, м. Київ, 
вул. Княжий Затон, 4</t>
  </si>
  <si>
    <t>4 Kniazhyi Zaton St., Kyiv, 02095</t>
  </si>
  <si>
    <t xml:space="preserve"> 4475 - директор
4472, 4473, 4474, 4476</t>
  </si>
  <si>
    <t xml:space="preserve">(044)363-02-76
(044)363-02-77
</t>
  </si>
  <si>
    <t xml:space="preserve">Саксаганське відділення </t>
  </si>
  <si>
    <t>065   15326804226768260065</t>
  </si>
  <si>
    <t>Усатюк 
Юлія Володимирівна</t>
  </si>
  <si>
    <t>097-333-75-59</t>
  </si>
  <si>
    <t>01023, м. КиЇв, 
ул. Шота Руставелі, 40/10</t>
  </si>
  <si>
    <t>40/10 Shota Rustaveli St., Kyiv, 01023</t>
  </si>
  <si>
    <t>4488 - директор,
4487, 4489, 4491, 4492, 4493</t>
  </si>
  <si>
    <t xml:space="preserve">(044)363-02-38
(044)363-02-39
</t>
  </si>
  <si>
    <t xml:space="preserve">Подільське відділення  </t>
  </si>
  <si>
    <t>053   15326804226768260053</t>
  </si>
  <si>
    <t>Балабанцева 
Іванна Сергіївна</t>
  </si>
  <si>
    <t>050-078-44-04</t>
  </si>
  <si>
    <t>04071, м. Київ, 
вул. Верхній Вал, 32</t>
  </si>
  <si>
    <t xml:space="preserve">  32,  Verhniy Vаl St., Kyiv, 04071</t>
  </si>
  <si>
    <t>4145 - директор,
4505, 4506,  4509, 4510, 4511, 4512,  4514, 4515, 4516,  4518, 4146</t>
  </si>
  <si>
    <t xml:space="preserve">(044)363-07-18
(044)363-07-19
</t>
  </si>
  <si>
    <t xml:space="preserve">Політехнічне відділення </t>
  </si>
  <si>
    <t>054   15326804226768260054</t>
  </si>
  <si>
    <t xml:space="preserve"> Мішук 
Інна Вікторівна</t>
  </si>
  <si>
    <t>098-229-18-22</t>
  </si>
  <si>
    <t xml:space="preserve">
м. Київ, просп. Перемоги/вул. Кулібіна, 75/2</t>
  </si>
  <si>
    <t>75/2 Peremohy Boulevard / Kulibin St., Kyiv, 03062</t>
  </si>
  <si>
    <t>4374 - директор,
4375,4378</t>
  </si>
  <si>
    <t xml:space="preserve">(044)363-06-93
(044)363-06-94
</t>
  </si>
  <si>
    <t>Полярне відділення</t>
  </si>
  <si>
    <t>506   15326804226768260506</t>
  </si>
  <si>
    <t>Леоненко 
Анна Анатоліївна</t>
  </si>
  <si>
    <t>093 -460-24-71</t>
  </si>
  <si>
    <t>04050, м. Київ,  
вул. Глибочицька, 29-31</t>
  </si>
  <si>
    <t>29-31 Hlybochytska St., Kyiv, 04050</t>
  </si>
  <si>
    <t>4542-директор,
4537,  4539,  4543</t>
  </si>
  <si>
    <t xml:space="preserve">(044)363-07-14
(044)363-07-15
</t>
  </si>
  <si>
    <t xml:space="preserve">Пушкінське відділення </t>
  </si>
  <si>
    <t>066   15326804226768260102</t>
  </si>
  <si>
    <t xml:space="preserve"> Руденко 
Катерина Іванівна</t>
  </si>
  <si>
    <t>093-294-25-82</t>
  </si>
  <si>
    <t>01004, м. Київ, 
вул. Пушкінська, 24-А</t>
  </si>
  <si>
    <t>24-A Pushkin St., Kyiv, 01004</t>
  </si>
  <si>
    <t>4560 - директор,
4556, 4557, 4558, 4559, , 4561, 4562</t>
  </si>
  <si>
    <t xml:space="preserve">(044)363-02-34
(044)363-02-35
</t>
  </si>
  <si>
    <t xml:space="preserve">Святошинське відділення </t>
  </si>
  <si>
    <t>041   15326804226768260041</t>
  </si>
  <si>
    <t xml:space="preserve"> Іванченко 
Ігор Миколайович</t>
  </si>
  <si>
    <t>063-178-81-66,  
050-215-99-11,
067-121-32-42</t>
  </si>
  <si>
    <t>03062, м. Київ, 
просп. Перемоги/
вул. Кулібіна, 75/2</t>
  </si>
  <si>
    <t>4585 - директор,
4579,4580,4581,4582,4583,4584,,4586</t>
  </si>
  <si>
    <t xml:space="preserve">(044)363-06-95
(044)363-06-96
</t>
  </si>
  <si>
    <t xml:space="preserve">"Сімейний банкінг"
(Family Banking) </t>
  </si>
  <si>
    <t>061   15326804226768260061</t>
  </si>
  <si>
    <t>Бурдейний 
Дмитро Володимирович</t>
  </si>
  <si>
    <t>097-008-30-80</t>
  </si>
  <si>
    <t>01133, м. Київ, 
вул.Мечникова, 10/2</t>
  </si>
  <si>
    <t>10/2 Mechnykov St., Kyiv, 01133</t>
  </si>
  <si>
    <t xml:space="preserve">43-93  - директор
4391, 4192, 4194
</t>
  </si>
  <si>
    <t xml:space="preserve">(044)363-02-72
(044)363-02-73
</t>
  </si>
  <si>
    <t>Столичне відділення</t>
  </si>
  <si>
    <t>290  
15326804226768260290</t>
  </si>
  <si>
    <t>Попович-Д'якова 
Наталія Валеріївна</t>
  </si>
  <si>
    <t>050-581-89-09
067-320-28-53</t>
  </si>
  <si>
    <t>01021, м. Київ, 
вул. Кловський узвіз, 9/2</t>
  </si>
  <si>
    <t>9/2 Klovskyi uzviz St., Kyiv, 01021</t>
  </si>
  <si>
    <t xml:space="preserve">
32-84-директор 
4617-4618-МРК
4613,4615,4624-сектор фізичних осіб 
4616 –ГФОК сектору фізичних осіб
4627-ГФОК сектору юридичних осіб
4626, 4628, 4629, 4630, 4631 - сектор юридичних осіб
</t>
  </si>
  <si>
    <t>(044)521-02-17,                    (044)521-02-54,                   (044)521-02-46</t>
  </si>
  <si>
    <t>Пн. – Пт.: 8:45 – 18:25,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</si>
  <si>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Відділення «Вінницька обласна дирекція»  </t>
  </si>
  <si>
    <t>569   15326804226768010569</t>
  </si>
  <si>
    <t xml:space="preserve">  Душкевич    
Людмила Василівна</t>
  </si>
  <si>
    <t>050-353-54-48 
067-32-11-956</t>
  </si>
  <si>
    <t>21018, м. Вінниця,  
вул. Гоголя 30</t>
  </si>
  <si>
    <t>30 Gogol St., Vinnytsia, 21018</t>
  </si>
  <si>
    <t>2400 - директор
  2402, 2403, 2404, 2406, 2414, 2416, 2417, 2418, 2421, 2422, 2423</t>
  </si>
  <si>
    <t xml:space="preserve">(043)250-42-56
(043)250-42-60
(043)250-42-61
(043)250-42-63
(043)250-42-64
</t>
  </si>
  <si>
    <t>Відділення «Волинська обласна дирекція»</t>
  </si>
  <si>
    <t>115     15326804226768020115</t>
  </si>
  <si>
    <t>Гатті 
 Вікторія Анатоліївна</t>
  </si>
  <si>
    <t>050-611-23-49</t>
  </si>
  <si>
    <t>43025, м. Луцьк, 
просп. Волі, 21</t>
  </si>
  <si>
    <t>21 Voli Boulevard, Lutsk, 43025</t>
  </si>
  <si>
    <t>2560 -директор,
2561, 2565, 2566, 2567, 2570</t>
  </si>
  <si>
    <t xml:space="preserve">(0332)78-99-25
(0332)78-99-26
(0332)78-99-27
(0332)78-99-28
(0332)78-99-29
</t>
  </si>
  <si>
    <t>Відділення «Дніпровська обласна дирекція»</t>
  </si>
  <si>
    <t>400   15326804226768030400</t>
  </si>
  <si>
    <t>Сідорова 
Марина Сергіївна</t>
  </si>
  <si>
    <t>066-535-41-76</t>
  </si>
  <si>
    <t>49020, м. Дніпро, 
вул.  Шевченка, 59</t>
  </si>
  <si>
    <t>59 Shevchenko St., Dnipro, 49020</t>
  </si>
  <si>
    <t>2655 - директор,
2650-2659,  2664</t>
  </si>
  <si>
    <t xml:space="preserve">(056)7873045
(056)7873046 
(056)7873047 
(056)7873048 
(056)7873049 
</t>
  </si>
  <si>
    <t xml:space="preserve">Криворізьке відділення </t>
  </si>
  <si>
    <t>361   15326804226768030361</t>
  </si>
  <si>
    <t xml:space="preserve"> Собіна  
Анна Андріївна</t>
  </si>
  <si>
    <t>066-930-38-73,
097-353-86-36</t>
  </si>
  <si>
    <t>50027, м. Кривий Ріг, 
пр-т. Гагаріна, 38 а.</t>
  </si>
  <si>
    <t>38 a Gagarin Boulevard, Kryvyi Rih, 50027</t>
  </si>
  <si>
    <t>2585 - директор,
2580, 2581,2582,2583,2584, 2585, 2587, 2588, 2589</t>
  </si>
  <si>
    <t xml:space="preserve">(0564)70-12-59
(0564)70-12-60
(0564)70-12-63
(0564)70-12-65
(0564)70-12-67
</t>
  </si>
  <si>
    <t>Азовське відділення</t>
  </si>
  <si>
    <t>522   15326804226768040522</t>
  </si>
  <si>
    <t>Лисакова 
Джульєтта Геннадіївна</t>
  </si>
  <si>
    <t>097-319-09-78</t>
  </si>
  <si>
    <t>87500, м. Маріуполь, 
просп.  Миру (Леніна), 81</t>
  </si>
  <si>
    <t>81 Myru (Lenin) Boulevard, Mariupol, 87500</t>
  </si>
  <si>
    <t xml:space="preserve">2023 - директор, 
2020, 2022, 2024
</t>
  </si>
  <si>
    <t>(0629) 52-62-17,
(0629) 52-62-18</t>
  </si>
  <si>
    <t>Відділення «Житомирська обласна дирекція»</t>
  </si>
  <si>
    <t>111   15326804226768050111</t>
  </si>
  <si>
    <t>т.в.о. директора Добровольська 
Світлана Сергіївна</t>
  </si>
  <si>
    <t>067-411-78-97</t>
  </si>
  <si>
    <t xml:space="preserve">10001,  м. Житомир, 
вул. Київська, 79
 </t>
  </si>
  <si>
    <t>79 Kyivska St., Zhytomyr, 10001</t>
  </si>
  <si>
    <t>2316- директор,
2308, 2309, 2311, 2313</t>
  </si>
  <si>
    <t>(412) 42-26-46,            (412) 42-26-44,            (412) 42-26-45,           (412) 42-26-43,          (412) 42-26-47,           (412)42-26-48,          (412)42-19-30</t>
  </si>
  <si>
    <t xml:space="preserve">Відділення «Закарпатська обласна дирекція» </t>
  </si>
  <si>
    <t>157   15326804226768060157</t>
  </si>
  <si>
    <t>Ступак 
Олександр Олександрович</t>
  </si>
  <si>
    <t>050-96-57-179</t>
  </si>
  <si>
    <t>88000, м. Ужгород, 
вул. Київська набережна, 2</t>
  </si>
  <si>
    <t>2 Kyivska Naberezhna St., Uzhhorod, 88000</t>
  </si>
  <si>
    <t>2500- директор,
2501, 2502, 2503 ,2504, 2505, 2507, 2510</t>
  </si>
  <si>
    <t xml:space="preserve">(0312) 63-06-10,
(0312) 63-06-11,
(0312) 63-06-12,
(0312) 63-06-15,
(0312)  63-06-16
(0312) 63-06-18,
(0312) 63-06-19 
</t>
  </si>
  <si>
    <t>Відділення «Запорізька обласна дирекція»</t>
  </si>
  <si>
    <t>282   15326804226768070282</t>
  </si>
  <si>
    <t xml:space="preserve"> Петряєв 
Анатолій Володимирович</t>
  </si>
  <si>
    <t>097-302-86-18</t>
  </si>
  <si>
    <t>69035, м. Запоріжжя,
пр-т. Соборний, 172</t>
  </si>
  <si>
    <t>172 Sobornyi Boulevard, Zaporizhzhia, 69035</t>
  </si>
  <si>
    <t xml:space="preserve">
2772 -директор,
2770, 2778, 2783, 2784, 2786
</t>
  </si>
  <si>
    <t xml:space="preserve">(061)280-55-40
(061)280-55-41
(061)280-55-42
(061)280-55-43
(061)280-55-44
       </t>
  </si>
  <si>
    <t>Відділення «Івано-Франківська обласна дирекція»</t>
  </si>
  <si>
    <t>453   15326804226768080453</t>
  </si>
  <si>
    <t>Срібна 
Оксана Михайлівна</t>
  </si>
  <si>
    <t>050-384-01-16</t>
  </si>
  <si>
    <t xml:space="preserve">76018, м. Івано-Франківськ, 
вул. Січових Стрільців, 48 </t>
  </si>
  <si>
    <t xml:space="preserve">48 Sichovych Striltsiv St., Ivano-Frankivsk, 76018 </t>
  </si>
  <si>
    <t xml:space="preserve"> 2065- директор,
 2051,   2060,  2063, 2064</t>
  </si>
  <si>
    <r>
      <rPr>
        <sz val="11"/>
        <rFont val="Calibri"/>
        <family val="2"/>
        <charset val="204"/>
      </rPr>
      <t>(0342) 55-72-01
(0</t>
    </r>
    <r>
      <rPr>
        <sz val="12"/>
        <rFont val="Calibri"/>
        <family val="2"/>
        <charset val="204"/>
      </rPr>
      <t>342)55-72-00
(0342)55-72-02
(0342)55-72-03
(0342)55-72-04
(0342)55-72-05
(0342)55-72-10
(0342)55-72-11</t>
    </r>
    <r>
      <rPr>
        <sz val="11"/>
        <rFont val="Calibri"/>
        <family val="2"/>
        <charset val="204"/>
      </rPr>
      <t xml:space="preserve">
</t>
    </r>
  </si>
  <si>
    <t>Відділення «Кіровоградська обласна дирекція»</t>
  </si>
  <si>
    <t>468   15326804226768100468</t>
  </si>
  <si>
    <t>Бондар 
Михайло Іссакович</t>
  </si>
  <si>
    <t>067-520-07-75</t>
  </si>
  <si>
    <t>25006, м. Кропивницький, 
вул. Шевченка, 3</t>
  </si>
  <si>
    <t>3 Shevchenko St., Kropyvnytskyi, 25006</t>
  </si>
  <si>
    <t>2357 - директор,
 2351, 2353, 2355, 2356, 2359,  2360, 2361, 2362,  2363, 2364, 2367</t>
  </si>
  <si>
    <t xml:space="preserve">(0522) 36-66-80,                                                                                                                                                                                                                                                                      
(0522) 36-66-81,
(0522) 36-66-82
</t>
  </si>
  <si>
    <t>Відділення «Львівська обласна дирекція»</t>
  </si>
  <si>
    <t>247   15326804226768130247</t>
  </si>
  <si>
    <t>Мицик 
Руслана Зіновіївна</t>
  </si>
  <si>
    <t>067-212-82-85</t>
  </si>
  <si>
    <t>79000, м. Львів, 
вул. Січових Стрільців, 3</t>
  </si>
  <si>
    <t>3 V. Sichovykh Strilʹtsiv, Lʹviv , 79000</t>
  </si>
  <si>
    <t xml:space="preserve">2071 - директор,
 2072, 2074, 2075, 2076, 2077, 2079, 2083, 2090, </t>
  </si>
  <si>
    <t xml:space="preserve">(032)226-76-08
(032)226-76-09
(032)226-76-10
(032)226-76-11
(032)226-76-12
</t>
  </si>
  <si>
    <t>Відділення «Миколаївська обласна дирекція»</t>
  </si>
  <si>
    <t>169   15326804226768140169</t>
  </si>
  <si>
    <t>Біла 
Ніна Миколаївна</t>
  </si>
  <si>
    <t>050-737-63-55</t>
  </si>
  <si>
    <t>54029, м. Миколаїв, 
вул. Пушкінська, 35</t>
  </si>
  <si>
    <t>35 Pushkin St., Mykolaiv, 54029</t>
  </si>
  <si>
    <t>2540 - директор , 
2541, 2542, 2543, 2544, 2545</t>
  </si>
  <si>
    <t xml:space="preserve">(0512)76-69-70
(0512)76-69-71
(0512)76-69-72
(0512)76-69-73
(0512)76-69-74
</t>
  </si>
  <si>
    <t xml:space="preserve">Відділення «Одеська обласна дирекція» </t>
  </si>
  <si>
    <t>329   15326804226768150329</t>
  </si>
  <si>
    <t>Вержбицька 
Ірина Віталіївна</t>
  </si>
  <si>
    <t>067-931-26-97</t>
  </si>
  <si>
    <t>65012, м. Одеса, 
вул. Пушкінська, 77</t>
  </si>
  <si>
    <t>77 Pushkin St., Odesa, 65012</t>
  </si>
  <si>
    <t xml:space="preserve">2232 - директор,
2230, 2231, 2236, 2237, 2239                              </t>
  </si>
  <si>
    <t xml:space="preserve">(048)7409345
(048)7409346
(048)7409347
(048)7409348
(048)7409349
</t>
  </si>
  <si>
    <t>Відділення «Полтавська обласна дирекція»</t>
  </si>
  <si>
    <t>198   15326804226768160198</t>
  </si>
  <si>
    <t xml:space="preserve"> Папудько 
Олена Євгеніївна</t>
  </si>
  <si>
    <t>066-553-31-74</t>
  </si>
  <si>
    <t>36020, м. Полтава, 
вул. 1100 - річчя Полтави, 12</t>
  </si>
  <si>
    <t>12 1100-richchia Poltavy St., Poltava, 36020</t>
  </si>
  <si>
    <t xml:space="preserve"> 2451 - директор,
2447, 2458, 2461, 2463
</t>
  </si>
  <si>
    <t xml:space="preserve">(0532) 516-970
(0532) 516-971
(0532) 516-972
(0532) 516-973
(0532) 516-974
(0532) 516-975
(0532) 516-976
</t>
  </si>
  <si>
    <t xml:space="preserve">Молодіжне відділення </t>
  </si>
  <si>
    <t>188   15326804226768160188</t>
  </si>
  <si>
    <t xml:space="preserve"> Щербина 
Нина Юріївна</t>
  </si>
  <si>
    <t xml:space="preserve"> 068-303-70-96</t>
  </si>
  <si>
    <t>39600, м. Кременчук, 
вул. Халаменюка, 4</t>
  </si>
  <si>
    <t>4 Khalameniuk St., Kremenchuk, 39600</t>
  </si>
  <si>
    <t>2484-директор,
2481, 2482,  2483, 2485, 2487</t>
  </si>
  <si>
    <t>(0536) 74-01-74,
(0536) 74-01-85</t>
  </si>
  <si>
    <t>Відділення «Рівненська обласна дирекція»</t>
  </si>
  <si>
    <t>153   15326804226768170153</t>
  </si>
  <si>
    <t>Панасюк 
Михайло Петрович</t>
  </si>
  <si>
    <t>097-675-88-83</t>
  </si>
  <si>
    <t>33028, м. Рівне, 
вул. Соборна, 112</t>
  </si>
  <si>
    <t>112 Soborna St., Rivne, 33028</t>
  </si>
  <si>
    <t xml:space="preserve"> 2470 - директор,
 2471, 2472, 2473, 2474, 2475,  2479</t>
  </si>
  <si>
    <t xml:space="preserve">(0362)46-05-88
(0362)46-05-86
(0362)46-05-87
(0362)46-02-63
(0362)46-02-62
 </t>
  </si>
  <si>
    <t xml:space="preserve">Відділення «Сумська обласна дирекція» </t>
  </si>
  <si>
    <t>356   15326804226768180356</t>
  </si>
  <si>
    <t xml:space="preserve"> Безносик  
Євген Анатолійович</t>
  </si>
  <si>
    <t xml:space="preserve">050-357-61-40
</t>
  </si>
  <si>
    <t>40004, м. Суми, 
вул. Горького,5-А</t>
  </si>
  <si>
    <t>5-a Gorkiy St., Sumy, 40004</t>
  </si>
  <si>
    <t>2525 - директор, 
2521,2522, 2524, 2526, 2527, 2528, 2529, 2530</t>
  </si>
  <si>
    <t>(0542)67-13-40, (0542)67-13-41, (0542)67-13-42, (0542)67-13-43, (0542)67-13-44, (0542)67-13-45, (0542)67-13-46</t>
  </si>
  <si>
    <t xml:space="preserve">Відділення «Тернопільська обласна дирекція» </t>
  </si>
  <si>
    <t>094   15326804226768190094</t>
  </si>
  <si>
    <t>Стігайло 
Юрій Юрійович</t>
  </si>
  <si>
    <t xml:space="preserve">067-600-40-41
</t>
  </si>
  <si>
    <t>46000, м. Тернопіль, 
вул. Руська, 14</t>
  </si>
  <si>
    <t>14 Ruska St., Ternopil, 46000</t>
  </si>
  <si>
    <t>2288 - директор, 
 2282, 2289</t>
  </si>
  <si>
    <t xml:space="preserve">(0352) 52-70-49,  
(0352) 43-49-38;
</t>
  </si>
  <si>
    <r>
      <t>Відділення "Харківська обласна дирекція"</t>
    </r>
    <r>
      <rPr>
        <b/>
        <sz val="11"/>
        <color indexed="8"/>
        <rFont val="Calibri"/>
        <family val="2"/>
        <charset val="204"/>
      </rPr>
      <t xml:space="preserve"> </t>
    </r>
  </si>
  <si>
    <t>616   15326804226768200616</t>
  </si>
  <si>
    <t xml:space="preserve">  Маслов 
Сергій Іванович</t>
  </si>
  <si>
    <t xml:space="preserve">067-729-41-71  </t>
  </si>
  <si>
    <t>61057, м. Харків, 
вул. Сумська 17, 
вул. Сумська, 19</t>
  </si>
  <si>
    <t>17 Sumska St., 19 Sumska St., Kharkiv, 61057</t>
  </si>
  <si>
    <t>2601 - директор,
2602, 2603, 2606, 2607, 2609, 2610, 2611, 2612, 2614, 2621, 2622, 2624, 2625, 2626, 2627, 2628</t>
  </si>
  <si>
    <t xml:space="preserve">(057)766-55-61
(057)766-55-62
(057)766-55-63
(057)766-55-64
(057)766-55-65
</t>
  </si>
  <si>
    <t xml:space="preserve">Відділення «Конституції» </t>
  </si>
  <si>
    <t>639   15326804226768200639</t>
  </si>
  <si>
    <t xml:space="preserve"> Козловський 
Олексій Миколайович</t>
  </si>
  <si>
    <t xml:space="preserve">097-679-58-78
</t>
  </si>
  <si>
    <t>61003, м. Харків, 
майдан Конституції, 2/2</t>
  </si>
  <si>
    <t>2/2 Konstytutsii Square, Kharkiv, 61003</t>
  </si>
  <si>
    <t xml:space="preserve">2590 - директор
 2591,  2593, 2594
</t>
  </si>
  <si>
    <t xml:space="preserve">(057)766-58-62
(057)766-58-63
</t>
  </si>
  <si>
    <t>Набережне відділення</t>
  </si>
  <si>
    <t>642   15326804226768200642</t>
  </si>
  <si>
    <t>Романашенко 
Кристина Валеріївна</t>
  </si>
  <si>
    <t>068-279-80-98</t>
  </si>
  <si>
    <t>61010, м. Харків, 
вул. Гімназійна Набережна, 18</t>
  </si>
  <si>
    <t>18 Himnaziina Naberezhna St., Kharkiv, 61010</t>
  </si>
  <si>
    <t>2639 - директор,
2641, 2643, 2644,  2645, 2646</t>
  </si>
  <si>
    <t xml:space="preserve">(057)766-58-91
(057)766-58-92
</t>
  </si>
  <si>
    <t>Відділення «Херсонська обласна дирекція»</t>
  </si>
  <si>
    <t>232   15326804226768210232</t>
  </si>
  <si>
    <t>Монюк 
Ярослав Степанович</t>
  </si>
  <si>
    <t>050-903-68-29</t>
  </si>
  <si>
    <t>73000, м. Херсон,  
вул. Маяковського,16А</t>
  </si>
  <si>
    <t>16A Mayakovskiy St., Kherson, 73000</t>
  </si>
  <si>
    <t>2203 - директор, 
2201, 2202, 2204, 2205, 2207</t>
  </si>
  <si>
    <t>(0552) 43-57-00,             (0552) 43-57-01,  (0552) 43-57-02,          (0552) 43-57-03,  (0552) 43-57-04,           (0552) 43-57-05,           (0552) 43-57-06, (0552) 22-33-53</t>
  </si>
  <si>
    <t xml:space="preserve">Відділення «Хмельницька обласна дирекція» </t>
  </si>
  <si>
    <t>156   15326804226768220156</t>
  </si>
  <si>
    <t>Сапужак 
Ольга Миколаївна</t>
  </si>
  <si>
    <t>068-657-66-57</t>
  </si>
  <si>
    <t>29000, м. Хмельницький,
 вул. Подільска, 21</t>
  </si>
  <si>
    <t>21 Podilska St., Khmelnytskyi, 29000</t>
  </si>
  <si>
    <t>2270- директор,
 2261, 2265, 2266, 2272, 2273</t>
  </si>
  <si>
    <t xml:space="preserve">(0382)72-47-95
(0382)72-47-96
(0382)72-47-97
(0382)72-47-98
(0382)72-47-99
</t>
  </si>
  <si>
    <t xml:space="preserve">Відділення «Черкаська обласна дирекція»  </t>
  </si>
  <si>
    <t>083   15326804226768230083</t>
  </si>
  <si>
    <t>Дюбін 
Михайло Володимирович</t>
  </si>
  <si>
    <t>097-757-24-28</t>
  </si>
  <si>
    <t>18000, м. Черкаси, 
вул. Лазарєва, 4</t>
  </si>
  <si>
    <t>4 Lazarieva St., Cherkasy, 18000</t>
  </si>
  <si>
    <t>2335-директор,
 2336, 2339,2340, 2341</t>
  </si>
  <si>
    <t xml:space="preserve">(0472)52-02-03
(0472)52-02-04
(0472)52-02-05
(0472)52-02-06
(0472)52-02-07
</t>
  </si>
  <si>
    <t xml:space="preserve">Відділення «Буковинська обласна дирекція» </t>
  </si>
  <si>
    <t>144   15326804226768250144</t>
  </si>
  <si>
    <t xml:space="preserve"> Стрілецький 
Володимир Мирославович</t>
  </si>
  <si>
    <t>066-356-71-66</t>
  </si>
  <si>
    <t xml:space="preserve">58002, м. Чернівці, 
вул. Івана Франка,1 </t>
  </si>
  <si>
    <t>1 Ivan Franko St., Chernivtsi, 58002</t>
  </si>
  <si>
    <t>2011-директор,
2004, 2005, 2006, 2008</t>
  </si>
  <si>
    <t xml:space="preserve">(0372) 58-44-36, 
(0372) 58-58-16,
Тел./факс </t>
  </si>
  <si>
    <t xml:space="preserve">Митне відділення </t>
  </si>
  <si>
    <t>611   15326804226768240611</t>
  </si>
  <si>
    <t>Максименко 
Алла Валентинівна</t>
  </si>
  <si>
    <t>067-460-21-76,              093-296-55-95</t>
  </si>
  <si>
    <t>14000 м. Чернігів 
пр-т. Миру 17</t>
  </si>
  <si>
    <t>17 Myru Boulevard, Chernihiv, 14000</t>
  </si>
  <si>
    <t>2180- директор, 
2182, 2183, 2185, 2187</t>
  </si>
  <si>
    <t>(0462)67-52-35,
(0462)67-52-25</t>
  </si>
  <si>
    <t>Выбрать свое отделение из выпадающего списка!</t>
  </si>
  <si>
    <t xml:space="preserve">Дата надання інформації: </t>
  </si>
  <si>
    <t xml:space="preserve">Ця інформація зберігає чинність та є актуальною до </t>
  </si>
  <si>
    <t xml:space="preserve">Додаток 30 до п. 1. рішення
ЗАТВЕРДЖЕНО
рішенням Голови Правління
АТ «ПРАВЕКС БАНК»
від _._.2020 № ___
</t>
  </si>
  <si>
    <t>Пакет "Фамільний" (перший рік)</t>
  </si>
  <si>
    <t>Пакет "Фамільний" (весь строк)</t>
  </si>
  <si>
    <t>Грошовий потік</t>
  </si>
  <si>
    <t>Пакет "Фамільний" (вартість на рік)</t>
  </si>
  <si>
    <t>Пакет "Фамільний" (вартість на весь строк)</t>
  </si>
  <si>
    <t>Одноразова комісія за надання кредиту, %</t>
  </si>
  <si>
    <t>страхування життя (разово)</t>
  </si>
  <si>
    <t>Ставка перші 3 місяці</t>
  </si>
  <si>
    <t>Процентна ставка, відсотків річних (перші 3 місяці)</t>
  </si>
  <si>
    <t>Процентна ставка, відсотків річних (з 4-го місяця)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</si>
</sst>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₽&quot;;[Red]\-#,##0.00\ &quot;₽&quot;"/>
    <numFmt numFmtId="165" formatCode="#,##0.00\ [$грн.-422]"/>
    <numFmt numFmtId="166" formatCode="#,##0.00&quot;р.&quot;;[Red]\-#,##0.00&quot;р.&quot;"/>
    <numFmt numFmtId="167" formatCode="[$$-C09]#,##0"/>
    <numFmt numFmtId="168" formatCode="0.0%"/>
  </numFmts>
  <fonts count="5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 Cyr"/>
      <family val="2"/>
      <charset val="204"/>
    </font>
    <font>
      <i/>
      <sz val="9"/>
      <color indexed="8"/>
      <name val="Arial"/>
      <family val="2"/>
      <charset val="204"/>
    </font>
    <font>
      <i/>
      <sz val="9"/>
      <name val="Arial Cyr"/>
      <charset val="204"/>
    </font>
    <font>
      <sz val="9"/>
      <color indexed="8"/>
      <name val="Arial"/>
      <family val="2"/>
      <charset val="204"/>
    </font>
    <font>
      <sz val="9"/>
      <name val="Arial Cyr"/>
      <family val="2"/>
      <charset val="204"/>
    </font>
    <font>
      <sz val="9"/>
      <color indexed="8"/>
      <name val="Arial Cyr"/>
      <charset val="204"/>
    </font>
    <font>
      <sz val="9"/>
      <color theme="0"/>
      <name val="Arial"/>
      <family val="2"/>
      <charset val="204"/>
    </font>
    <font>
      <sz val="9"/>
      <color theme="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Arial Cyr"/>
      <charset val="204"/>
    </font>
    <font>
      <i/>
      <sz val="9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rgb="FF007A00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4"/>
      </right>
      <top/>
      <bottom/>
      <diagonal/>
    </border>
    <border>
      <left/>
      <right style="thin">
        <color theme="3" tint="0.39997558519241921"/>
      </right>
      <top/>
      <bottom style="thin">
        <color indexed="64"/>
      </bottom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3" tint="0.39997558519241921"/>
      </right>
      <top/>
      <bottom style="thin">
        <color theme="4"/>
      </bottom>
      <diagonal/>
    </border>
    <border>
      <left style="thin">
        <color theme="3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3" tint="0.39997558519241921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0"/>
      </bottom>
      <diagonal/>
    </border>
    <border>
      <left/>
      <right/>
      <top style="thin">
        <color theme="3" tint="0.39997558519241921"/>
      </top>
      <bottom/>
      <diagonal/>
    </border>
    <border>
      <left/>
      <right/>
      <top style="thin">
        <color theme="4"/>
      </top>
      <bottom style="thin">
        <color theme="3" tint="0.39997558519241921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4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A00"/>
      </left>
      <right style="thin">
        <color indexed="64"/>
      </right>
      <top style="thin">
        <color rgb="FF007A00"/>
      </top>
      <bottom style="thin">
        <color rgb="FF007A00"/>
      </bottom>
      <diagonal/>
    </border>
    <border>
      <left/>
      <right/>
      <top style="thin">
        <color rgb="FF007A00"/>
      </top>
      <bottom style="thin">
        <color rgb="FF007A00"/>
      </bottom>
      <diagonal/>
    </border>
    <border>
      <left style="thin">
        <color indexed="64"/>
      </left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/>
      <top style="thin">
        <color rgb="FF007A00"/>
      </top>
      <bottom/>
      <diagonal/>
    </border>
    <border>
      <left style="thin">
        <color rgb="FF007A00"/>
      </left>
      <right/>
      <top/>
      <bottom/>
      <diagonal/>
    </border>
    <border>
      <left style="thin">
        <color rgb="FF007A00"/>
      </left>
      <right/>
      <top/>
      <bottom style="thin">
        <color rgb="FF007A00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rgb="FF007A00"/>
      </bottom>
      <diagonal/>
    </border>
    <border>
      <left/>
      <right/>
      <top style="thin">
        <color theme="3" tint="0.39997558519241921"/>
      </top>
      <bottom style="thin">
        <color rgb="FF007A00"/>
      </bottom>
      <diagonal/>
    </border>
    <border>
      <left style="thin">
        <color indexed="64"/>
      </left>
      <right style="thin">
        <color theme="3" tint="0.39997558519241921"/>
      </right>
      <top style="thin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/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A00"/>
      </bottom>
      <diagonal/>
    </border>
    <border>
      <left/>
      <right style="thin">
        <color indexed="64"/>
      </right>
      <top style="thin">
        <color indexed="64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indexed="64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/>
      <diagonal/>
    </border>
    <border>
      <left/>
      <right style="thin">
        <color indexed="64"/>
      </right>
      <top style="thin">
        <color rgb="FF007A00"/>
      </top>
      <bottom/>
      <diagonal/>
    </border>
    <border>
      <left/>
      <right/>
      <top style="thin">
        <color indexed="64"/>
      </top>
      <bottom style="thin">
        <color rgb="FF007A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A00"/>
      </bottom>
      <diagonal/>
    </border>
  </borders>
  <cellStyleXfs count="2">
    <xf numFmtId="0" fontId="0" fillId="0" borderId="0"/>
    <xf numFmtId="0" fontId="7" fillId="0" borderId="0"/>
  </cellStyleXfs>
  <cellXfs count="403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wrapText="1"/>
    </xf>
    <xf numFmtId="0" fontId="8" fillId="2" borderId="0" xfId="1" applyFont="1" applyFill="1" applyBorder="1" applyAlignment="1" applyProtection="1">
      <alignment horizontal="left"/>
      <protection locked="0" hidden="1"/>
    </xf>
    <xf numFmtId="0" fontId="9" fillId="2" borderId="0" xfId="0" applyFont="1" applyFill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9" fillId="2" borderId="0" xfId="0" applyFont="1" applyFill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9" fillId="0" borderId="0" xfId="0" applyFont="1" applyBorder="1" applyAlignment="1" applyProtection="1">
      <alignment horizontal="center" wrapText="1"/>
      <protection hidden="1"/>
    </xf>
    <xf numFmtId="10" fontId="9" fillId="0" borderId="0" xfId="0" applyNumberFormat="1" applyFont="1" applyBorder="1" applyAlignment="1" applyProtection="1">
      <alignment horizontal="center" wrapText="1"/>
      <protection hidden="1"/>
    </xf>
    <xf numFmtId="4" fontId="9" fillId="0" borderId="0" xfId="0" applyNumberFormat="1" applyFont="1" applyBorder="1" applyAlignment="1" applyProtection="1">
      <alignment horizontal="center" wrapText="1"/>
      <protection hidden="1"/>
    </xf>
    <xf numFmtId="4" fontId="0" fillId="0" borderId="0" xfId="0" applyNumberFormat="1" applyFont="1" applyBorder="1" applyAlignment="1">
      <alignment horizontal="center"/>
    </xf>
    <xf numFmtId="0" fontId="13" fillId="0" borderId="0" xfId="0" applyFont="1"/>
    <xf numFmtId="0" fontId="8" fillId="0" borderId="0" xfId="1" applyFont="1" applyAlignment="1" applyProtection="1">
      <alignment vertical="center"/>
      <protection hidden="1"/>
    </xf>
    <xf numFmtId="0" fontId="15" fillId="0" borderId="0" xfId="1" applyFont="1" applyFill="1" applyBorder="1" applyAlignment="1" applyProtection="1">
      <protection locked="0" hidden="1"/>
    </xf>
    <xf numFmtId="14" fontId="16" fillId="0" borderId="0" xfId="1" applyNumberFormat="1" applyFont="1" applyProtection="1">
      <protection hidden="1"/>
    </xf>
    <xf numFmtId="0" fontId="16" fillId="0" borderId="0" xfId="1" applyFont="1" applyFill="1" applyBorder="1" applyAlignment="1" applyProtection="1">
      <alignment horizontal="right"/>
      <protection hidden="1"/>
    </xf>
    <xf numFmtId="0" fontId="8" fillId="0" borderId="0" xfId="1" applyFont="1" applyFill="1" applyBorder="1" applyAlignment="1" applyProtection="1">
      <alignment vertical="center" wrapText="1"/>
      <protection locked="0" hidden="1"/>
    </xf>
    <xf numFmtId="14" fontId="17" fillId="0" borderId="0" xfId="1" applyNumberFormat="1" applyFont="1" applyFill="1" applyBorder="1" applyProtection="1">
      <protection hidden="1"/>
    </xf>
    <xf numFmtId="0" fontId="8" fillId="2" borderId="0" xfId="1" applyFont="1" applyFill="1" applyAlignment="1" applyProtection="1">
      <alignment horizontal="left"/>
      <protection hidden="1"/>
    </xf>
    <xf numFmtId="0" fontId="18" fillId="2" borderId="0" xfId="1" applyFont="1" applyFill="1" applyAlignment="1" applyProtection="1">
      <alignment horizontal="left" vertical="center"/>
      <protection hidden="1"/>
    </xf>
    <xf numFmtId="0" fontId="16" fillId="0" borderId="0" xfId="1" applyFont="1" applyProtection="1">
      <protection hidden="1"/>
    </xf>
    <xf numFmtId="0" fontId="17" fillId="0" borderId="0" xfId="1" applyFont="1" applyFill="1" applyBorder="1" applyProtection="1">
      <protection hidden="1"/>
    </xf>
    <xf numFmtId="0" fontId="17" fillId="0" borderId="0" xfId="1" applyFont="1" applyProtection="1">
      <protection hidden="1"/>
    </xf>
    <xf numFmtId="0" fontId="16" fillId="0" borderId="0" xfId="1" applyFont="1" applyFill="1" applyBorder="1" applyAlignment="1" applyProtection="1">
      <alignment vertical="center"/>
      <protection locked="0" hidden="1"/>
    </xf>
    <xf numFmtId="166" fontId="8" fillId="0" borderId="0" xfId="1" applyNumberFormat="1" applyFont="1" applyProtection="1"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right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0" fillId="2" borderId="14" xfId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Protection="1">
      <protection hidden="1"/>
    </xf>
    <xf numFmtId="0" fontId="8" fillId="0" borderId="0" xfId="1" applyFont="1" applyFill="1" applyBorder="1" applyProtection="1">
      <protection hidden="1"/>
    </xf>
    <xf numFmtId="0" fontId="21" fillId="0" borderId="0" xfId="1" applyFont="1" applyProtection="1">
      <protection hidden="1"/>
    </xf>
    <xf numFmtId="0" fontId="15" fillId="0" borderId="0" xfId="1" applyFont="1" applyProtection="1">
      <protection hidden="1"/>
    </xf>
    <xf numFmtId="0" fontId="8" fillId="0" borderId="15" xfId="1" applyFont="1" applyBorder="1" applyAlignment="1" applyProtection="1">
      <alignment horizontal="center" wrapText="1"/>
      <protection hidden="1"/>
    </xf>
    <xf numFmtId="0" fontId="8" fillId="0" borderId="12" xfId="1" applyFont="1" applyBorder="1" applyAlignment="1" applyProtection="1">
      <alignment horizontal="center" wrapText="1"/>
      <protection hidden="1"/>
    </xf>
    <xf numFmtId="0" fontId="15" fillId="0" borderId="12" xfId="1" applyFont="1" applyBorder="1" applyAlignment="1" applyProtection="1">
      <alignment horizontal="center" wrapText="1"/>
      <protection hidden="1"/>
    </xf>
    <xf numFmtId="0" fontId="27" fillId="2" borderId="21" xfId="1" applyFont="1" applyFill="1" applyBorder="1" applyAlignment="1" applyProtection="1">
      <alignment horizontal="center"/>
      <protection hidden="1"/>
    </xf>
    <xf numFmtId="165" fontId="27" fillId="2" borderId="21" xfId="1" applyNumberFormat="1" applyFont="1" applyFill="1" applyBorder="1" applyAlignment="1" applyProtection="1">
      <alignment horizontal="center" vertical="center"/>
      <protection hidden="1"/>
    </xf>
    <xf numFmtId="165" fontId="27" fillId="2" borderId="11" xfId="1" applyNumberFormat="1" applyFont="1" applyFill="1" applyBorder="1" applyAlignment="1" applyProtection="1">
      <alignment horizontal="center" vertical="center"/>
      <protection hidden="1"/>
    </xf>
    <xf numFmtId="0" fontId="8" fillId="2" borderId="12" xfId="1" applyFont="1" applyFill="1" applyBorder="1" applyAlignment="1" applyProtection="1">
      <alignment horizontal="left"/>
      <protection hidden="1"/>
    </xf>
    <xf numFmtId="165" fontId="30" fillId="2" borderId="21" xfId="1" applyNumberFormat="1" applyFont="1" applyFill="1" applyBorder="1" applyAlignment="1" applyProtection="1">
      <alignment horizontal="center" vertical="center"/>
      <protection hidden="1"/>
    </xf>
    <xf numFmtId="165" fontId="31" fillId="2" borderId="11" xfId="1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 applyFill="1" applyBorder="1" applyAlignment="1">
      <alignment horizontal="center"/>
    </xf>
    <xf numFmtId="168" fontId="29" fillId="2" borderId="11" xfId="1" applyNumberFormat="1" applyFont="1" applyFill="1" applyBorder="1" applyAlignment="1" applyProtection="1">
      <alignment horizontal="center" vertical="center"/>
      <protection hidden="1"/>
    </xf>
    <xf numFmtId="168" fontId="0" fillId="0" borderId="0" xfId="0" applyNumberFormat="1" applyBorder="1" applyAlignment="1">
      <alignment horizontal="center"/>
    </xf>
    <xf numFmtId="4" fontId="32" fillId="0" borderId="0" xfId="0" applyNumberFormat="1" applyFont="1" applyBorder="1" applyAlignment="1">
      <alignment horizontal="center"/>
    </xf>
    <xf numFmtId="4" fontId="0" fillId="0" borderId="0" xfId="0" applyNumberFormat="1"/>
    <xf numFmtId="0" fontId="0" fillId="2" borderId="23" xfId="0" applyFill="1" applyBorder="1"/>
    <xf numFmtId="0" fontId="0" fillId="2" borderId="24" xfId="0" applyFill="1" applyBorder="1"/>
    <xf numFmtId="4" fontId="0" fillId="2" borderId="20" xfId="0" applyNumberFormat="1" applyFill="1" applyBorder="1" applyProtection="1">
      <protection locked="0"/>
    </xf>
    <xf numFmtId="0" fontId="0" fillId="2" borderId="25" xfId="0" applyFill="1" applyBorder="1"/>
    <xf numFmtId="4" fontId="0" fillId="2" borderId="21" xfId="0" applyNumberFormat="1" applyFill="1" applyBorder="1"/>
    <xf numFmtId="10" fontId="0" fillId="2" borderId="0" xfId="0" applyNumberFormat="1" applyFill="1" applyBorder="1" applyProtection="1">
      <protection locked="0"/>
    </xf>
    <xf numFmtId="4" fontId="32" fillId="2" borderId="0" xfId="0" applyNumberFormat="1" applyFont="1" applyFill="1" applyBorder="1"/>
    <xf numFmtId="4" fontId="32" fillId="2" borderId="23" xfId="0" applyNumberFormat="1" applyFont="1" applyFill="1" applyBorder="1"/>
    <xf numFmtId="0" fontId="33" fillId="2" borderId="0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" fillId="2" borderId="0" xfId="0" applyFont="1" applyFill="1" applyBorder="1"/>
    <xf numFmtId="0" fontId="9" fillId="2" borderId="0" xfId="0" applyFont="1" applyFill="1" applyBorder="1" applyAlignment="1" applyProtection="1">
      <alignment wrapText="1"/>
      <protection hidden="1"/>
    </xf>
    <xf numFmtId="0" fontId="9" fillId="2" borderId="0" xfId="0" applyFont="1" applyFill="1" applyBorder="1" applyAlignment="1" applyProtection="1">
      <alignment horizontal="left" wrapText="1"/>
      <protection hidden="1"/>
    </xf>
    <xf numFmtId="0" fontId="8" fillId="0" borderId="0" xfId="1" applyFont="1" applyBorder="1" applyAlignment="1" applyProtection="1">
      <alignment horizontal="center" wrapText="1"/>
      <protection hidden="1"/>
    </xf>
    <xf numFmtId="0" fontId="15" fillId="0" borderId="0" xfId="1" applyFont="1" applyBorder="1" applyAlignment="1" applyProtection="1">
      <alignment horizontal="center" wrapText="1"/>
      <protection hidden="1"/>
    </xf>
    <xf numFmtId="0" fontId="20" fillId="2" borderId="0" xfId="1" applyFont="1" applyFill="1" applyBorder="1" applyAlignment="1" applyProtection="1">
      <alignment horizontal="center" vertical="center"/>
      <protection hidden="1"/>
    </xf>
    <xf numFmtId="14" fontId="26" fillId="2" borderId="27" xfId="1" applyNumberFormat="1" applyFont="1" applyFill="1" applyBorder="1" applyAlignment="1" applyProtection="1">
      <alignment horizontal="center"/>
      <protection hidden="1"/>
    </xf>
    <xf numFmtId="165" fontId="25" fillId="2" borderId="27" xfId="1" applyNumberFormat="1" applyFont="1" applyFill="1" applyBorder="1" applyAlignment="1" applyProtection="1">
      <alignment horizontal="center" vertical="center"/>
      <protection hidden="1"/>
    </xf>
    <xf numFmtId="0" fontId="24" fillId="4" borderId="29" xfId="1" applyFont="1" applyFill="1" applyBorder="1" applyAlignment="1" applyProtection="1">
      <alignment horizontal="center" vertical="center" wrapText="1"/>
      <protection hidden="1"/>
    </xf>
    <xf numFmtId="0" fontId="24" fillId="4" borderId="26" xfId="1" applyFont="1" applyFill="1" applyBorder="1" applyAlignment="1" applyProtection="1">
      <alignment horizontal="center" vertical="center" wrapText="1"/>
      <protection hidden="1"/>
    </xf>
    <xf numFmtId="0" fontId="22" fillId="4" borderId="33" xfId="1" applyFont="1" applyFill="1" applyBorder="1" applyAlignment="1" applyProtection="1">
      <alignment horizontal="center" vertical="center" wrapText="1"/>
      <protection hidden="1"/>
    </xf>
    <xf numFmtId="0" fontId="0" fillId="0" borderId="36" xfId="0" applyBorder="1"/>
    <xf numFmtId="0" fontId="33" fillId="2" borderId="0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22" fillId="4" borderId="33" xfId="1" applyFont="1" applyFill="1" applyBorder="1" applyAlignment="1" applyProtection="1">
      <alignment horizontal="center" vertical="center" wrapText="1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0" fillId="2" borderId="14" xfId="1" applyFont="1" applyFill="1" applyBorder="1" applyAlignment="1" applyProtection="1">
      <alignment horizontal="center" vertical="center" wrapText="1"/>
      <protection hidden="1"/>
    </xf>
    <xf numFmtId="0" fontId="10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35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0" fontId="0" fillId="2" borderId="40" xfId="0" applyFill="1" applyBorder="1"/>
    <xf numFmtId="0" fontId="32" fillId="2" borderId="0" xfId="0" applyFont="1" applyFill="1" applyBorder="1"/>
    <xf numFmtId="0" fontId="0" fillId="2" borderId="43" xfId="0" applyFill="1" applyBorder="1"/>
    <xf numFmtId="14" fontId="0" fillId="2" borderId="44" xfId="0" applyNumberFormat="1" applyFill="1" applyBorder="1" applyProtection="1">
      <protection locked="0"/>
    </xf>
    <xf numFmtId="164" fontId="0" fillId="2" borderId="45" xfId="0" applyNumberFormat="1" applyFill="1" applyBorder="1"/>
    <xf numFmtId="0" fontId="0" fillId="2" borderId="45" xfId="0" applyFill="1" applyBorder="1"/>
    <xf numFmtId="164" fontId="0" fillId="2" borderId="46" xfId="0" applyNumberFormat="1" applyFill="1" applyBorder="1"/>
    <xf numFmtId="0" fontId="0" fillId="0" borderId="47" xfId="0" applyFont="1" applyFill="1" applyBorder="1"/>
    <xf numFmtId="14" fontId="0" fillId="2" borderId="48" xfId="0" applyNumberFormat="1" applyFill="1" applyBorder="1" applyProtection="1">
      <protection locked="0"/>
    </xf>
    <xf numFmtId="10" fontId="0" fillId="2" borderId="48" xfId="0" applyNumberFormat="1" applyFill="1" applyBorder="1"/>
    <xf numFmtId="0" fontId="0" fillId="2" borderId="49" xfId="0" applyFill="1" applyBorder="1"/>
    <xf numFmtId="10" fontId="0" fillId="2" borderId="45" xfId="0" applyNumberFormat="1" applyFill="1" applyBorder="1"/>
    <xf numFmtId="0" fontId="9" fillId="2" borderId="52" xfId="0" applyFont="1" applyFill="1" applyBorder="1" applyAlignment="1" applyProtection="1">
      <alignment horizontal="left" wrapText="1"/>
      <protection hidden="1"/>
    </xf>
    <xf numFmtId="0" fontId="9" fillId="2" borderId="53" xfId="0" applyFont="1" applyFill="1" applyBorder="1" applyAlignment="1" applyProtection="1">
      <alignment horizontal="left" wrapText="1"/>
      <protection hidden="1"/>
    </xf>
    <xf numFmtId="0" fontId="9" fillId="2" borderId="49" xfId="0" applyFont="1" applyFill="1" applyBorder="1" applyAlignment="1" applyProtection="1">
      <alignment wrapText="1"/>
      <protection hidden="1"/>
    </xf>
    <xf numFmtId="0" fontId="9" fillId="2" borderId="45" xfId="0" applyFont="1" applyFill="1" applyBorder="1" applyAlignment="1" applyProtection="1">
      <alignment wrapText="1"/>
      <protection hidden="1"/>
    </xf>
    <xf numFmtId="0" fontId="9" fillId="2" borderId="49" xfId="0" applyFont="1" applyFill="1" applyBorder="1" applyAlignment="1" applyProtection="1">
      <alignment horizontal="left" wrapText="1"/>
      <protection hidden="1"/>
    </xf>
    <xf numFmtId="0" fontId="9" fillId="2" borderId="45" xfId="0" applyFont="1" applyFill="1" applyBorder="1" applyAlignment="1" applyProtection="1">
      <alignment horizontal="left" wrapText="1"/>
      <protection hidden="1"/>
    </xf>
    <xf numFmtId="4" fontId="9" fillId="2" borderId="45" xfId="0" applyNumberFormat="1" applyFont="1" applyFill="1" applyBorder="1" applyAlignment="1" applyProtection="1">
      <alignment wrapText="1"/>
      <protection hidden="1"/>
    </xf>
    <xf numFmtId="0" fontId="9" fillId="2" borderId="50" xfId="0" applyFont="1" applyFill="1" applyBorder="1" applyAlignment="1" applyProtection="1">
      <alignment horizontal="left" wrapText="1"/>
      <protection hidden="1"/>
    </xf>
    <xf numFmtId="0" fontId="9" fillId="2" borderId="40" xfId="0" applyFont="1" applyFill="1" applyBorder="1" applyAlignment="1" applyProtection="1">
      <alignment horizontal="left" wrapText="1"/>
      <protection hidden="1"/>
    </xf>
    <xf numFmtId="0" fontId="9" fillId="2" borderId="51" xfId="0" applyFont="1" applyFill="1" applyBorder="1" applyAlignment="1" applyProtection="1">
      <alignment horizontal="left" wrapText="1"/>
      <protection hidden="1"/>
    </xf>
    <xf numFmtId="4" fontId="32" fillId="2" borderId="40" xfId="0" applyNumberFormat="1" applyFont="1" applyFill="1" applyBorder="1"/>
    <xf numFmtId="10" fontId="32" fillId="2" borderId="54" xfId="0" applyNumberFormat="1" applyFont="1" applyFill="1" applyBorder="1"/>
    <xf numFmtId="0" fontId="0" fillId="2" borderId="54" xfId="0" applyFill="1" applyBorder="1"/>
    <xf numFmtId="0" fontId="0" fillId="2" borderId="55" xfId="0" applyFill="1" applyBorder="1"/>
    <xf numFmtId="0" fontId="9" fillId="2" borderId="56" xfId="0" applyFont="1" applyFill="1" applyBorder="1" applyAlignment="1" applyProtection="1">
      <alignment wrapText="1"/>
      <protection hidden="1"/>
    </xf>
    <xf numFmtId="0" fontId="9" fillId="2" borderId="53" xfId="0" applyFont="1" applyFill="1" applyBorder="1" applyAlignment="1" applyProtection="1">
      <alignment wrapText="1"/>
      <protection hidden="1"/>
    </xf>
    <xf numFmtId="0" fontId="9" fillId="2" borderId="57" xfId="0" applyFont="1" applyFill="1" applyBorder="1" applyAlignment="1" applyProtection="1">
      <alignment wrapText="1"/>
      <protection hidden="1"/>
    </xf>
    <xf numFmtId="4" fontId="0" fillId="0" borderId="0" xfId="0" applyNumberFormat="1" applyFill="1" applyBorder="1" applyAlignment="1">
      <alignment horizontal="center"/>
    </xf>
    <xf numFmtId="1" fontId="26" fillId="2" borderId="27" xfId="1" applyNumberFormat="1" applyFont="1" applyFill="1" applyBorder="1" applyAlignment="1" applyProtection="1">
      <alignment horizontal="center"/>
      <protection hidden="1"/>
    </xf>
    <xf numFmtId="165" fontId="35" fillId="2" borderId="11" xfId="1" applyNumberFormat="1" applyFont="1" applyFill="1" applyBorder="1" applyAlignment="1" applyProtection="1">
      <alignment horizontal="center" vertical="center"/>
      <protection hidden="1"/>
    </xf>
    <xf numFmtId="0" fontId="25" fillId="2" borderId="59" xfId="1" applyFont="1" applyFill="1" applyBorder="1" applyProtection="1">
      <protection hidden="1"/>
    </xf>
    <xf numFmtId="14" fontId="26" fillId="2" borderId="60" xfId="1" applyNumberFormat="1" applyFont="1" applyFill="1" applyBorder="1" applyAlignment="1" applyProtection="1">
      <alignment horizontal="center"/>
      <protection hidden="1"/>
    </xf>
    <xf numFmtId="0" fontId="26" fillId="2" borderId="60" xfId="1" applyNumberFormat="1" applyFont="1" applyFill="1" applyBorder="1" applyAlignment="1" applyProtection="1">
      <alignment horizontal="center"/>
      <protection hidden="1"/>
    </xf>
    <xf numFmtId="165" fontId="25" fillId="2" borderId="60" xfId="1" applyNumberFormat="1" applyFont="1" applyFill="1" applyBorder="1" applyAlignment="1" applyProtection="1">
      <alignment horizontal="center" vertical="center"/>
      <protection hidden="1"/>
    </xf>
    <xf numFmtId="165" fontId="25" fillId="2" borderId="60" xfId="1" applyNumberFormat="1" applyFont="1" applyFill="1" applyBorder="1" applyAlignment="1" applyProtection="1">
      <alignment horizontal="center" vertical="center" wrapText="1"/>
      <protection hidden="1"/>
    </xf>
    <xf numFmtId="167" fontId="25" fillId="2" borderId="60" xfId="1" applyNumberFormat="1" applyFont="1" applyFill="1" applyBorder="1" applyAlignment="1" applyProtection="1">
      <alignment horizontal="center" vertical="center" wrapText="1"/>
      <protection hidden="1"/>
    </xf>
    <xf numFmtId="0" fontId="27" fillId="2" borderId="11" xfId="1" applyFont="1" applyFill="1" applyBorder="1" applyAlignment="1" applyProtection="1">
      <alignment horizontal="center"/>
      <protection hidden="1"/>
    </xf>
    <xf numFmtId="14" fontId="28" fillId="2" borderId="11" xfId="1" applyNumberFormat="1" applyFont="1" applyFill="1" applyBorder="1" applyAlignment="1" applyProtection="1">
      <alignment horizontal="center"/>
      <protection hidden="1"/>
    </xf>
    <xf numFmtId="1" fontId="28" fillId="2" borderId="11" xfId="1" applyNumberFormat="1" applyFont="1" applyFill="1" applyBorder="1" applyAlignment="1" applyProtection="1">
      <alignment horizontal="center" vertical="center"/>
      <protection hidden="1"/>
    </xf>
    <xf numFmtId="165" fontId="36" fillId="2" borderId="11" xfId="1" applyNumberFormat="1" applyFont="1" applyFill="1" applyBorder="1" applyAlignment="1" applyProtection="1">
      <alignment horizontal="center" vertical="center" wrapText="1"/>
      <protection hidden="1"/>
    </xf>
    <xf numFmtId="168" fontId="35" fillId="2" borderId="21" xfId="1" applyNumberFormat="1" applyFont="1" applyFill="1" applyBorder="1" applyAlignment="1" applyProtection="1">
      <alignment horizontal="center" vertical="center"/>
      <protection hidden="1"/>
    </xf>
    <xf numFmtId="165" fontId="35" fillId="2" borderId="21" xfId="1" applyNumberFormat="1" applyFont="1" applyFill="1" applyBorder="1" applyAlignment="1" applyProtection="1">
      <alignment horizontal="center" vertical="center"/>
      <protection hidden="1"/>
    </xf>
    <xf numFmtId="14" fontId="26" fillId="2" borderId="11" xfId="1" applyNumberFormat="1" applyFont="1" applyFill="1" applyBorder="1" applyAlignment="1" applyProtection="1">
      <alignment horizontal="center"/>
      <protection hidden="1"/>
    </xf>
    <xf numFmtId="1" fontId="26" fillId="2" borderId="11" xfId="1" applyNumberFormat="1" applyFont="1" applyFill="1" applyBorder="1" applyAlignment="1" applyProtection="1">
      <alignment horizontal="center"/>
      <protection hidden="1"/>
    </xf>
    <xf numFmtId="165" fontId="25" fillId="2" borderId="11" xfId="1" applyNumberFormat="1" applyFont="1" applyFill="1" applyBorder="1" applyAlignment="1" applyProtection="1">
      <alignment horizontal="center" vertical="center"/>
      <protection hidden="1"/>
    </xf>
    <xf numFmtId="165" fontId="30" fillId="2" borderId="1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/>
    <xf numFmtId="0" fontId="37" fillId="0" borderId="0" xfId="1" applyFont="1" applyFill="1" applyBorder="1" applyAlignment="1" applyProtection="1">
      <protection locked="0" hidden="1"/>
    </xf>
    <xf numFmtId="0" fontId="38" fillId="0" borderId="0" xfId="1" applyFont="1" applyFill="1" applyBorder="1" applyAlignment="1" applyProtection="1">
      <alignment vertical="center" wrapText="1"/>
      <protection locked="0" hidden="1"/>
    </xf>
    <xf numFmtId="0" fontId="37" fillId="0" borderId="0" xfId="1" applyFont="1" applyFill="1" applyBorder="1" applyAlignment="1" applyProtection="1">
      <alignment vertical="center"/>
      <protection locked="0" hidden="1"/>
    </xf>
    <xf numFmtId="0" fontId="38" fillId="0" borderId="0" xfId="1" applyFont="1" applyFill="1" applyBorder="1" applyProtection="1">
      <protection hidden="1"/>
    </xf>
    <xf numFmtId="0" fontId="38" fillId="0" borderId="0" xfId="1" applyFont="1" applyProtection="1">
      <protection hidden="1"/>
    </xf>
    <xf numFmtId="0" fontId="37" fillId="0" borderId="12" xfId="1" applyFont="1" applyBorder="1" applyAlignment="1" applyProtection="1">
      <alignment horizontal="center" wrapText="1"/>
      <protection hidden="1"/>
    </xf>
    <xf numFmtId="0" fontId="37" fillId="0" borderId="0" xfId="1" applyFont="1" applyBorder="1" applyAlignment="1" applyProtection="1">
      <alignment horizontal="center" wrapText="1"/>
      <protection hidden="1"/>
    </xf>
    <xf numFmtId="165" fontId="40" fillId="2" borderId="61" xfId="1" applyNumberFormat="1" applyFont="1" applyFill="1" applyBorder="1" applyAlignment="1" applyProtection="1">
      <alignment horizontal="center" vertical="center" wrapText="1"/>
      <protection hidden="1"/>
    </xf>
    <xf numFmtId="0" fontId="33" fillId="2" borderId="0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22" fillId="4" borderId="16" xfId="1" applyFont="1" applyFill="1" applyBorder="1" applyAlignment="1" applyProtection="1">
      <alignment horizontal="center" vertical="center" wrapText="1"/>
      <protection hidden="1"/>
    </xf>
    <xf numFmtId="0" fontId="22" fillId="4" borderId="33" xfId="1" applyFont="1" applyFill="1" applyBorder="1" applyAlignment="1" applyProtection="1">
      <alignment horizontal="center" vertical="center" wrapText="1"/>
      <protection hidden="1"/>
    </xf>
    <xf numFmtId="0" fontId="1" fillId="2" borderId="49" xfId="0" applyFont="1" applyFill="1" applyBorder="1"/>
    <xf numFmtId="10" fontId="32" fillId="2" borderId="0" xfId="0" applyNumberFormat="1" applyFont="1" applyFill="1" applyBorder="1"/>
    <xf numFmtId="10" fontId="0" fillId="2" borderId="45" xfId="0" applyNumberFormat="1" applyFill="1" applyBorder="1" applyProtection="1">
      <protection locked="0"/>
    </xf>
    <xf numFmtId="0" fontId="0" fillId="0" borderId="0" xfId="0" applyBorder="1"/>
    <xf numFmtId="0" fontId="0" fillId="2" borderId="66" xfId="0" applyFill="1" applyBorder="1" applyAlignment="1">
      <alignment horizontal="left"/>
    </xf>
    <xf numFmtId="0" fontId="0" fillId="2" borderId="68" xfId="0" applyFill="1" applyBorder="1" applyAlignment="1"/>
    <xf numFmtId="0" fontId="0" fillId="0" borderId="66" xfId="0" applyBorder="1" applyAlignment="1"/>
    <xf numFmtId="0" fontId="0" fillId="0" borderId="69" xfId="0" applyBorder="1" applyAlignment="1"/>
    <xf numFmtId="0" fontId="0" fillId="2" borderId="70" xfId="0" applyFill="1" applyBorder="1" applyAlignment="1"/>
    <xf numFmtId="0" fontId="0" fillId="2" borderId="58" xfId="0" applyFill="1" applyBorder="1" applyAlignment="1"/>
    <xf numFmtId="0" fontId="0" fillId="2" borderId="42" xfId="0" applyFill="1" applyBorder="1" applyAlignment="1"/>
    <xf numFmtId="0" fontId="0" fillId="2" borderId="41" xfId="0" applyFill="1" applyBorder="1" applyAlignment="1"/>
    <xf numFmtId="0" fontId="0" fillId="2" borderId="73" xfId="0" applyFill="1" applyBorder="1" applyAlignment="1"/>
    <xf numFmtId="0" fontId="0" fillId="2" borderId="74" xfId="0" applyFill="1" applyBorder="1" applyAlignment="1"/>
    <xf numFmtId="0" fontId="32" fillId="2" borderId="0" xfId="0" applyFont="1" applyFill="1" applyBorder="1" applyProtection="1">
      <protection locked="0"/>
    </xf>
    <xf numFmtId="0" fontId="1" fillId="2" borderId="56" xfId="0" applyFont="1" applyFill="1" applyBorder="1"/>
    <xf numFmtId="0" fontId="1" fillId="2" borderId="50" xfId="0" applyFont="1" applyFill="1" applyBorder="1"/>
    <xf numFmtId="0" fontId="1" fillId="2" borderId="75" xfId="0" applyFont="1" applyFill="1" applyBorder="1"/>
    <xf numFmtId="14" fontId="32" fillId="2" borderId="76" xfId="0" applyNumberFormat="1" applyFont="1" applyFill="1" applyBorder="1"/>
    <xf numFmtId="0" fontId="0" fillId="2" borderId="77" xfId="0" applyFill="1" applyBorder="1"/>
    <xf numFmtId="0" fontId="1" fillId="3" borderId="79" xfId="0" applyFont="1" applyFill="1" applyBorder="1"/>
    <xf numFmtId="4" fontId="0" fillId="2" borderId="80" xfId="0" applyNumberFormat="1" applyFill="1" applyBorder="1" applyProtection="1">
      <protection locked="0"/>
    </xf>
    <xf numFmtId="0" fontId="1" fillId="3" borderId="81" xfId="0" applyFont="1" applyFill="1" applyBorder="1"/>
    <xf numFmtId="4" fontId="0" fillId="2" borderId="82" xfId="0" applyNumberFormat="1" applyFill="1" applyBorder="1" applyProtection="1">
      <protection locked="0"/>
    </xf>
    <xf numFmtId="0" fontId="1" fillId="3" borderId="75" xfId="0" applyFont="1" applyFill="1" applyBorder="1"/>
    <xf numFmtId="10" fontId="0" fillId="2" borderId="83" xfId="0" applyNumberFormat="1" applyFill="1" applyBorder="1" applyProtection="1">
      <protection locked="0"/>
    </xf>
    <xf numFmtId="0" fontId="1" fillId="2" borderId="84" xfId="0" applyFont="1" applyFill="1" applyBorder="1"/>
    <xf numFmtId="0" fontId="1" fillId="2" borderId="86" xfId="0" applyFont="1" applyFill="1" applyBorder="1"/>
    <xf numFmtId="0" fontId="1" fillId="2" borderId="88" xfId="0" applyFont="1" applyFill="1" applyBorder="1"/>
    <xf numFmtId="10" fontId="32" fillId="2" borderId="89" xfId="0" applyNumberFormat="1" applyFont="1" applyFill="1" applyBorder="1"/>
    <xf numFmtId="0" fontId="0" fillId="2" borderId="90" xfId="0" applyFill="1" applyBorder="1"/>
    <xf numFmtId="4" fontId="0" fillId="6" borderId="85" xfId="0" applyNumberFormat="1" applyFill="1" applyBorder="1" applyProtection="1">
      <protection locked="0"/>
    </xf>
    <xf numFmtId="0" fontId="0" fillId="6" borderId="87" xfId="0" applyFill="1" applyBorder="1" applyProtection="1">
      <protection locked="0"/>
    </xf>
    <xf numFmtId="10" fontId="0" fillId="6" borderId="91" xfId="0" applyNumberFormat="1" applyFill="1" applyBorder="1" applyProtection="1">
      <protection locked="0"/>
    </xf>
    <xf numFmtId="4" fontId="41" fillId="0" borderId="0" xfId="0" applyNumberFormat="1" applyFont="1" applyBorder="1" applyAlignment="1">
      <alignment horizontal="center"/>
    </xf>
    <xf numFmtId="0" fontId="32" fillId="2" borderId="0" xfId="0" applyFont="1" applyFill="1"/>
    <xf numFmtId="0" fontId="32" fillId="0" borderId="0" xfId="0" applyFont="1"/>
    <xf numFmtId="4" fontId="32" fillId="0" borderId="0" xfId="0" applyNumberFormat="1" applyFont="1"/>
    <xf numFmtId="4" fontId="32" fillId="2" borderId="0" xfId="0" applyNumberFormat="1" applyFont="1" applyFill="1"/>
    <xf numFmtId="0" fontId="32" fillId="0" borderId="0" xfId="0" applyFont="1" applyBorder="1"/>
    <xf numFmtId="0" fontId="42" fillId="2" borderId="0" xfId="0" applyFont="1" applyFill="1" applyAlignment="1" applyProtection="1">
      <alignment wrapText="1"/>
      <protection hidden="1"/>
    </xf>
    <xf numFmtId="0" fontId="42" fillId="0" borderId="0" xfId="0" applyFont="1" applyAlignment="1" applyProtection="1">
      <alignment wrapText="1"/>
      <protection hidden="1"/>
    </xf>
    <xf numFmtId="0" fontId="42" fillId="2" borderId="0" xfId="0" applyFont="1" applyFill="1" applyAlignment="1" applyProtection="1">
      <alignment horizontal="left" wrapText="1"/>
      <protection hidden="1"/>
    </xf>
    <xf numFmtId="0" fontId="42" fillId="0" borderId="0" xfId="0" applyFont="1" applyAlignment="1" applyProtection="1">
      <alignment horizontal="left" wrapText="1"/>
      <protection hidden="1"/>
    </xf>
    <xf numFmtId="164" fontId="0" fillId="2" borderId="0" xfId="0" applyNumberFormat="1" applyFill="1" applyBorder="1"/>
    <xf numFmtId="0" fontId="24" fillId="4" borderId="92" xfId="1" applyFont="1" applyFill="1" applyBorder="1" applyAlignment="1" applyProtection="1">
      <alignment horizontal="center" vertical="center" wrapText="1"/>
      <protection hidden="1"/>
    </xf>
    <xf numFmtId="0" fontId="24" fillId="4" borderId="14" xfId="1" applyFont="1" applyFill="1" applyBorder="1" applyAlignment="1" applyProtection="1">
      <alignment horizontal="center" vertical="center" wrapText="1"/>
      <protection hidden="1"/>
    </xf>
    <xf numFmtId="165" fontId="8" fillId="0" borderId="60" xfId="1" applyNumberFormat="1" applyFont="1" applyFill="1" applyBorder="1" applyAlignment="1" applyProtection="1">
      <alignment horizontal="center" vertical="center" wrapText="1"/>
      <protection locked="0" hidden="1"/>
    </xf>
    <xf numFmtId="165" fontId="25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43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22" fillId="4" borderId="21" xfId="1" applyFont="1" applyFill="1" applyBorder="1" applyAlignment="1" applyProtection="1">
      <alignment horizontal="center" vertical="center" wrapText="1"/>
      <protection hidden="1"/>
    </xf>
    <xf numFmtId="165" fontId="43" fillId="2" borderId="60" xfId="1" applyNumberFormat="1" applyFont="1" applyFill="1" applyBorder="1" applyAlignment="1" applyProtection="1">
      <alignment horizontal="center" vertical="center" wrapText="1"/>
      <protection hidden="1"/>
    </xf>
    <xf numFmtId="165" fontId="44" fillId="2" borderId="11" xfId="1" applyNumberFormat="1" applyFont="1" applyFill="1" applyBorder="1" applyAlignment="1" applyProtection="1">
      <alignment horizontal="center" vertical="center"/>
      <protection hidden="1"/>
    </xf>
    <xf numFmtId="165" fontId="43" fillId="2" borderId="21" xfId="1" applyNumberFormat="1" applyFont="1" applyFill="1" applyBorder="1" applyAlignment="1" applyProtection="1">
      <alignment horizontal="center" vertical="center"/>
      <protection hidden="1"/>
    </xf>
    <xf numFmtId="10" fontId="0" fillId="6" borderId="98" xfId="0" applyNumberFormat="1" applyFill="1" applyBorder="1" applyAlignment="1" applyProtection="1">
      <protection locked="0"/>
    </xf>
    <xf numFmtId="14" fontId="0" fillId="2" borderId="78" xfId="0" applyNumberFormat="1" applyFill="1" applyBorder="1" applyProtection="1"/>
    <xf numFmtId="4" fontId="0" fillId="0" borderId="101" xfId="0" applyNumberFormat="1" applyFill="1" applyBorder="1" applyAlignment="1" applyProtection="1"/>
    <xf numFmtId="0" fontId="2" fillId="2" borderId="6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9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1" fillId="7" borderId="11" xfId="0" applyFont="1" applyFill="1" applyBorder="1" applyAlignment="1">
      <alignment horizontal="center" vertical="center" wrapText="1"/>
    </xf>
    <xf numFmtId="0" fontId="48" fillId="7" borderId="11" xfId="0" applyFont="1" applyFill="1" applyBorder="1" applyAlignment="1">
      <alignment horizontal="center" vertical="center" wrapText="1"/>
    </xf>
    <xf numFmtId="14" fontId="41" fillId="7" borderId="11" xfId="0" applyNumberFormat="1" applyFont="1" applyFill="1" applyBorder="1" applyAlignment="1">
      <alignment horizontal="center" vertical="center" wrapText="1"/>
    </xf>
    <xf numFmtId="14" fontId="48" fillId="7" borderId="11" xfId="0" applyNumberFormat="1" applyFont="1" applyFill="1" applyBorder="1" applyAlignment="1">
      <alignment horizontal="center" vertical="center" wrapText="1"/>
    </xf>
    <xf numFmtId="0" fontId="41" fillId="7" borderId="11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6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top" wrapText="1"/>
    </xf>
    <xf numFmtId="0" fontId="47" fillId="0" borderId="11" xfId="0" applyFont="1" applyFill="1" applyBorder="1" applyAlignment="1">
      <alignment horizontal="left" vertical="center" wrapText="1"/>
    </xf>
    <xf numFmtId="0" fontId="52" fillId="2" borderId="0" xfId="0" applyFont="1" applyFill="1"/>
    <xf numFmtId="14" fontId="32" fillId="2" borderId="0" xfId="0" applyNumberFormat="1" applyFont="1" applyFill="1"/>
    <xf numFmtId="0" fontId="0" fillId="2" borderId="0" xfId="0" applyFill="1" applyAlignment="1">
      <alignment horizontal="center" wrapText="1"/>
    </xf>
    <xf numFmtId="0" fontId="0" fillId="2" borderId="102" xfId="0" applyFill="1" applyBorder="1" applyAlignment="1"/>
    <xf numFmtId="0" fontId="0" fillId="2" borderId="103" xfId="0" applyFill="1" applyBorder="1" applyAlignment="1"/>
    <xf numFmtId="0" fontId="0" fillId="0" borderId="12" xfId="0" applyFill="1" applyBorder="1" applyAlignment="1">
      <alignment horizontal="center"/>
    </xf>
    <xf numFmtId="0" fontId="0" fillId="0" borderId="95" xfId="0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horizontal="center" wrapText="1"/>
      <protection hidden="1"/>
    </xf>
    <xf numFmtId="0" fontId="41" fillId="0" borderId="0" xfId="0" applyFont="1"/>
    <xf numFmtId="4" fontId="41" fillId="0" borderId="0" xfId="0" applyNumberFormat="1" applyFont="1"/>
    <xf numFmtId="14" fontId="0" fillId="2" borderId="78" xfId="0" applyNumberFormat="1" applyFill="1" applyBorder="1" applyProtection="1">
      <protection locked="0"/>
    </xf>
    <xf numFmtId="10" fontId="32" fillId="2" borderId="92" xfId="0" applyNumberFormat="1" applyFont="1" applyFill="1" applyBorder="1"/>
    <xf numFmtId="0" fontId="0" fillId="2" borderId="92" xfId="0" applyFill="1" applyBorder="1"/>
    <xf numFmtId="10" fontId="0" fillId="2" borderId="14" xfId="0" applyNumberFormat="1" applyFill="1" applyBorder="1" applyProtection="1">
      <protection locked="0"/>
    </xf>
    <xf numFmtId="0" fontId="1" fillId="2" borderId="11" xfId="0" applyFont="1" applyFill="1" applyBorder="1"/>
    <xf numFmtId="10" fontId="0" fillId="2" borderId="98" xfId="0" applyNumberFormat="1" applyFill="1" applyBorder="1" applyAlignment="1" applyProtection="1"/>
    <xf numFmtId="4" fontId="0" fillId="2" borderId="101" xfId="0" applyNumberFormat="1" applyFill="1" applyBorder="1" applyAlignment="1" applyProtection="1"/>
    <xf numFmtId="10" fontId="0" fillId="2" borderId="91" xfId="0" applyNumberFormat="1" applyFill="1" applyBorder="1" applyProtection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" fontId="0" fillId="2" borderId="37" xfId="0" applyNumberFormat="1" applyFill="1" applyBorder="1" applyAlignment="1" applyProtection="1">
      <alignment horizontal="center"/>
      <protection locked="0"/>
    </xf>
    <xf numFmtId="4" fontId="0" fillId="2" borderId="4" xfId="0" applyNumberForma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2" borderId="2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46" fillId="2" borderId="9" xfId="0" applyFont="1" applyFill="1" applyBorder="1" applyAlignment="1">
      <alignment horizontal="center" vertical="center" wrapText="1"/>
    </xf>
    <xf numFmtId="0" fontId="46" fillId="2" borderId="37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46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53" fillId="2" borderId="0" xfId="0" applyFont="1" applyFill="1" applyBorder="1" applyAlignment="1">
      <alignment horizontal="justify" vertical="center" wrapText="1"/>
    </xf>
    <xf numFmtId="4" fontId="0" fillId="2" borderId="98" xfId="0" applyNumberFormat="1" applyFill="1" applyBorder="1" applyAlignment="1" applyProtection="1">
      <alignment horizontal="center"/>
    </xf>
    <xf numFmtId="4" fontId="0" fillId="2" borderId="99" xfId="0" applyNumberFormat="1" applyFill="1" applyBorder="1" applyAlignment="1" applyProtection="1">
      <alignment horizontal="center"/>
    </xf>
    <xf numFmtId="0" fontId="0" fillId="2" borderId="68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0" fontId="0" fillId="2" borderId="96" xfId="0" applyNumberFormat="1" applyFill="1" applyBorder="1" applyAlignment="1" applyProtection="1">
      <alignment horizontal="center"/>
    </xf>
    <xf numFmtId="10" fontId="0" fillId="2" borderId="97" xfId="0" applyNumberFormat="1" applyFill="1" applyBorder="1" applyAlignment="1" applyProtection="1">
      <alignment horizontal="center"/>
    </xf>
    <xf numFmtId="0" fontId="34" fillId="2" borderId="0" xfId="0" applyFont="1" applyFill="1" applyAlignment="1">
      <alignment horizontal="center"/>
    </xf>
    <xf numFmtId="0" fontId="33" fillId="2" borderId="0" xfId="0" applyFon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1" fillId="3" borderId="11" xfId="0" applyFont="1" applyFill="1" applyBorder="1" applyAlignment="1">
      <alignment horizontal="left" wrapText="1"/>
    </xf>
    <xf numFmtId="0" fontId="0" fillId="3" borderId="20" xfId="0" applyFill="1" applyBorder="1" applyAlignment="1">
      <alignment horizontal="left"/>
    </xf>
    <xf numFmtId="0" fontId="10" fillId="5" borderId="62" xfId="0" applyFont="1" applyFill="1" applyBorder="1" applyAlignment="1" applyProtection="1">
      <alignment horizontal="center" vertical="center" wrapText="1"/>
      <protection hidden="1"/>
    </xf>
    <xf numFmtId="0" fontId="10" fillId="5" borderId="63" xfId="0" applyFont="1" applyFill="1" applyBorder="1" applyAlignment="1" applyProtection="1">
      <alignment horizontal="center" vertical="center" wrapText="1"/>
      <protection hidden="1"/>
    </xf>
    <xf numFmtId="0" fontId="10" fillId="5" borderId="64" xfId="0" applyFont="1" applyFill="1" applyBorder="1" applyAlignment="1" applyProtection="1">
      <alignment horizontal="center" vertical="center" wrapText="1"/>
      <protection hidden="1"/>
    </xf>
    <xf numFmtId="0" fontId="0" fillId="2" borderId="65" xfId="0" applyFill="1" applyBorder="1" applyAlignment="1">
      <alignment horizontal="left"/>
    </xf>
    <xf numFmtId="0" fontId="0" fillId="2" borderId="66" xfId="0" applyFill="1" applyBorder="1" applyAlignment="1">
      <alignment horizontal="left"/>
    </xf>
    <xf numFmtId="0" fontId="0" fillId="2" borderId="67" xfId="0" applyFill="1" applyBorder="1" applyAlignment="1">
      <alignment horizontal="left"/>
    </xf>
    <xf numFmtId="10" fontId="0" fillId="2" borderId="98" xfId="0" applyNumberFormat="1" applyFill="1" applyBorder="1" applyAlignment="1" applyProtection="1">
      <alignment horizontal="center"/>
    </xf>
    <xf numFmtId="10" fontId="0" fillId="2" borderId="99" xfId="0" applyNumberFormat="1" applyFill="1" applyBorder="1" applyAlignment="1" applyProtection="1">
      <alignment horizont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4" fontId="0" fillId="2" borderId="100" xfId="0" applyNumberFormat="1" applyFill="1" applyBorder="1" applyAlignment="1" applyProtection="1">
      <alignment horizontal="center"/>
    </xf>
    <xf numFmtId="4" fontId="0" fillId="2" borderId="101" xfId="0" applyNumberFormat="1" applyFill="1" applyBorder="1" applyAlignment="1" applyProtection="1">
      <alignment horizontal="center"/>
    </xf>
    <xf numFmtId="4" fontId="0" fillId="2" borderId="11" xfId="0" applyNumberFormat="1" applyFill="1" applyBorder="1" applyAlignment="1" applyProtection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center" wrapText="1"/>
      <protection hidden="1"/>
    </xf>
    <xf numFmtId="0" fontId="9" fillId="2" borderId="14" xfId="0" applyFont="1" applyFill="1" applyBorder="1" applyAlignment="1" applyProtection="1">
      <alignment horizontal="center" wrapText="1"/>
      <protection hidden="1"/>
    </xf>
    <xf numFmtId="4" fontId="0" fillId="2" borderId="10" xfId="0" applyNumberFormat="1" applyFill="1" applyBorder="1" applyAlignment="1" applyProtection="1">
      <alignment horizontal="center"/>
      <protection locked="0"/>
    </xf>
    <xf numFmtId="4" fontId="0" fillId="2" borderId="7" xfId="0" applyNumberFormat="1" applyFill="1" applyBorder="1" applyAlignment="1" applyProtection="1">
      <alignment horizontal="center"/>
      <protection locked="0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10" fontId="0" fillId="6" borderId="96" xfId="0" applyNumberFormat="1" applyFill="1" applyBorder="1" applyAlignment="1" applyProtection="1">
      <alignment horizontal="center"/>
      <protection locked="0"/>
    </xf>
    <xf numFmtId="10" fontId="0" fillId="6" borderId="97" xfId="0" applyNumberFormat="1" applyFill="1" applyBorder="1" applyAlignment="1" applyProtection="1">
      <alignment horizontal="center"/>
      <protection locked="0"/>
    </xf>
    <xf numFmtId="4" fontId="0" fillId="6" borderId="98" xfId="0" applyNumberFormat="1" applyFill="1" applyBorder="1" applyAlignment="1" applyProtection="1">
      <alignment horizontal="center"/>
      <protection locked="0"/>
    </xf>
    <xf numFmtId="4" fontId="0" fillId="6" borderId="99" xfId="0" applyNumberFormat="1" applyFill="1" applyBorder="1" applyAlignment="1" applyProtection="1">
      <alignment horizontal="center"/>
      <protection locked="0"/>
    </xf>
    <xf numFmtId="10" fontId="0" fillId="6" borderId="98" xfId="0" applyNumberFormat="1" applyFill="1" applyBorder="1" applyAlignment="1" applyProtection="1">
      <alignment horizontal="center"/>
      <protection locked="0"/>
    </xf>
    <xf numFmtId="10" fontId="0" fillId="6" borderId="99" xfId="0" applyNumberFormat="1" applyFill="1" applyBorder="1" applyAlignment="1" applyProtection="1">
      <alignment horizontal="center"/>
      <protection locked="0"/>
    </xf>
    <xf numFmtId="4" fontId="0" fillId="0" borderId="98" xfId="0" applyNumberFormat="1" applyFill="1" applyBorder="1" applyAlignment="1" applyProtection="1">
      <alignment horizontal="center"/>
    </xf>
    <xf numFmtId="4" fontId="0" fillId="0" borderId="99" xfId="0" applyNumberFormat="1" applyFill="1" applyBorder="1" applyAlignment="1" applyProtection="1">
      <alignment horizontal="center"/>
    </xf>
    <xf numFmtId="4" fontId="0" fillId="6" borderId="100" xfId="0" applyNumberFormat="1" applyFill="1" applyBorder="1" applyAlignment="1" applyProtection="1">
      <alignment horizontal="center"/>
      <protection locked="0"/>
    </xf>
    <xf numFmtId="4" fontId="0" fillId="6" borderId="101" xfId="0" applyNumberFormat="1" applyFill="1" applyBorder="1" applyAlignment="1" applyProtection="1">
      <alignment horizontal="center"/>
      <protection locked="0"/>
    </xf>
    <xf numFmtId="4" fontId="0" fillId="6" borderId="11" xfId="0" applyNumberFormat="1" applyFill="1" applyBorder="1" applyAlignment="1" applyProtection="1">
      <alignment horizontal="center"/>
      <protection locked="0"/>
    </xf>
    <xf numFmtId="0" fontId="24" fillId="4" borderId="13" xfId="1" applyFont="1" applyFill="1" applyBorder="1" applyAlignment="1" applyProtection="1">
      <alignment horizontal="left" vertical="center" wrapText="1"/>
      <protection hidden="1"/>
    </xf>
    <xf numFmtId="0" fontId="24" fillId="4" borderId="92" xfId="1" applyFont="1" applyFill="1" applyBorder="1" applyAlignment="1" applyProtection="1">
      <alignment horizontal="left" vertical="center" wrapText="1"/>
      <protection hidden="1"/>
    </xf>
    <xf numFmtId="0" fontId="22" fillId="4" borderId="20" xfId="1" applyFont="1" applyFill="1" applyBorder="1" applyAlignment="1" applyProtection="1">
      <alignment horizontal="center" vertical="center" wrapText="1"/>
      <protection hidden="1"/>
    </xf>
    <xf numFmtId="0" fontId="22" fillId="4" borderId="60" xfId="1" applyFont="1" applyFill="1" applyBorder="1" applyAlignment="1" applyProtection="1">
      <alignment horizontal="center" vertical="center" wrapText="1"/>
      <protection hidden="1"/>
    </xf>
    <xf numFmtId="0" fontId="22" fillId="4" borderId="26" xfId="1" applyFont="1" applyFill="1" applyBorder="1" applyAlignment="1" applyProtection="1">
      <alignment horizontal="center" vertical="center" wrapText="1"/>
      <protection hidden="1"/>
    </xf>
    <xf numFmtId="0" fontId="22" fillId="4" borderId="0" xfId="1" applyFont="1" applyFill="1" applyBorder="1" applyAlignment="1" applyProtection="1">
      <alignment horizontal="center" vertical="center" wrapText="1"/>
      <protection hidden="1"/>
    </xf>
    <xf numFmtId="14" fontId="8" fillId="2" borderId="11" xfId="1" applyNumberFormat="1" applyFont="1" applyFill="1" applyBorder="1" applyAlignment="1" applyProtection="1">
      <alignment horizontal="left" vertical="center"/>
      <protection locked="0" hidden="1"/>
    </xf>
    <xf numFmtId="0" fontId="8" fillId="2" borderId="11" xfId="1" applyNumberFormat="1" applyFont="1" applyFill="1" applyBorder="1" applyAlignment="1" applyProtection="1">
      <alignment horizontal="left" vertical="center"/>
      <protection locked="0" hidden="1"/>
    </xf>
    <xf numFmtId="0" fontId="20" fillId="2" borderId="12" xfId="1" applyFont="1" applyFill="1" applyBorder="1" applyAlignment="1" applyProtection="1">
      <alignment horizontal="left" wrapText="1"/>
      <protection hidden="1"/>
    </xf>
    <xf numFmtId="0" fontId="22" fillId="4" borderId="30" xfId="1" applyFont="1" applyFill="1" applyBorder="1" applyAlignment="1" applyProtection="1">
      <alignment horizontal="center" vertical="center" wrapText="1"/>
      <protection hidden="1"/>
    </xf>
    <xf numFmtId="0" fontId="22" fillId="4" borderId="17" xfId="1" applyFont="1" applyFill="1" applyBorder="1" applyAlignment="1" applyProtection="1">
      <alignment horizontal="center" vertical="center" wrapText="1"/>
      <protection hidden="1"/>
    </xf>
    <xf numFmtId="0" fontId="22" fillId="4" borderId="34" xfId="1" applyFont="1" applyFill="1" applyBorder="1" applyAlignment="1" applyProtection="1">
      <alignment horizontal="center" vertical="center" wrapText="1"/>
      <protection hidden="1"/>
    </xf>
    <xf numFmtId="0" fontId="24" fillId="4" borderId="29" xfId="1" applyFont="1" applyFill="1" applyBorder="1" applyAlignment="1" applyProtection="1">
      <alignment horizontal="left" vertical="center" wrapText="1"/>
      <protection hidden="1"/>
    </xf>
    <xf numFmtId="0" fontId="24" fillId="4" borderId="26" xfId="1" applyFont="1" applyFill="1" applyBorder="1" applyAlignment="1" applyProtection="1">
      <alignment horizontal="left" vertical="center" wrapText="1"/>
      <protection hidden="1"/>
    </xf>
    <xf numFmtId="0" fontId="22" fillId="4" borderId="18" xfId="1" applyFont="1" applyFill="1" applyBorder="1" applyAlignment="1" applyProtection="1">
      <alignment horizontal="center" vertical="center" wrapText="1"/>
      <protection hidden="1"/>
    </xf>
    <xf numFmtId="3" fontId="19" fillId="2" borderId="11" xfId="1" applyNumberFormat="1" applyFont="1" applyFill="1" applyBorder="1" applyAlignment="1" applyProtection="1">
      <alignment horizontal="left" vertical="center"/>
      <protection hidden="1"/>
    </xf>
    <xf numFmtId="0" fontId="8" fillId="2" borderId="11" xfId="1" applyFont="1" applyFill="1" applyBorder="1" applyAlignment="1" applyProtection="1">
      <alignment horizontal="left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0" fillId="2" borderId="14" xfId="1" applyFont="1" applyFill="1" applyBorder="1" applyAlignment="1" applyProtection="1">
      <alignment horizontal="center" vertical="center" wrapText="1"/>
      <protection hidden="1"/>
    </xf>
    <xf numFmtId="0" fontId="22" fillId="4" borderId="28" xfId="1" applyFont="1" applyFill="1" applyBorder="1" applyAlignment="1" applyProtection="1">
      <alignment horizontal="center" vertical="center" wrapText="1"/>
      <protection hidden="1"/>
    </xf>
    <xf numFmtId="0" fontId="22" fillId="4" borderId="31" xfId="1" applyFont="1" applyFill="1" applyBorder="1" applyAlignment="1" applyProtection="1">
      <alignment horizontal="center" vertical="center" wrapText="1"/>
      <protection hidden="1"/>
    </xf>
    <xf numFmtId="0" fontId="22" fillId="4" borderId="32" xfId="1" applyFont="1" applyFill="1" applyBorder="1" applyAlignment="1" applyProtection="1">
      <alignment horizontal="center" vertical="center" wrapText="1"/>
      <protection hidden="1"/>
    </xf>
    <xf numFmtId="0" fontId="22" fillId="4" borderId="29" xfId="1" applyFont="1" applyFill="1" applyBorder="1" applyAlignment="1" applyProtection="1">
      <alignment horizontal="center" vertical="center" wrapText="1"/>
      <protection hidden="1"/>
    </xf>
    <xf numFmtId="0" fontId="22" fillId="4" borderId="16" xfId="1" applyFont="1" applyFill="1" applyBorder="1" applyAlignment="1" applyProtection="1">
      <alignment horizontal="center" vertical="center" wrapText="1"/>
      <protection hidden="1"/>
    </xf>
    <xf numFmtId="0" fontId="22" fillId="4" borderId="33" xfId="1" applyFont="1" applyFill="1" applyBorder="1" applyAlignment="1" applyProtection="1">
      <alignment horizontal="center" vertical="center" wrapText="1"/>
      <protection hidden="1"/>
    </xf>
    <xf numFmtId="165" fontId="8" fillId="2" borderId="0" xfId="1" applyNumberFormat="1" applyFont="1" applyFill="1" applyBorder="1" applyAlignment="1" applyProtection="1">
      <alignment horizontal="left" vertical="center"/>
      <protection locked="0" hidden="1"/>
    </xf>
    <xf numFmtId="165" fontId="8" fillId="2" borderId="12" xfId="1" applyNumberFormat="1" applyFont="1" applyFill="1" applyBorder="1" applyAlignment="1" applyProtection="1">
      <alignment horizontal="left" vertical="center"/>
      <protection locked="0" hidden="1"/>
    </xf>
    <xf numFmtId="165" fontId="38" fillId="0" borderId="20" xfId="1" applyNumberFormat="1" applyFont="1" applyFill="1" applyBorder="1" applyAlignment="1" applyProtection="1">
      <alignment horizontal="center" vertical="center" wrapText="1"/>
      <protection locked="0" hidden="1"/>
    </xf>
    <xf numFmtId="0" fontId="38" fillId="0" borderId="21" xfId="1" applyFont="1" applyFill="1" applyBorder="1" applyAlignment="1" applyProtection="1">
      <alignment horizontal="center" vertical="center" wrapText="1"/>
      <protection locked="0" hidden="1"/>
    </xf>
    <xf numFmtId="165" fontId="8" fillId="2" borderId="21" xfId="1" applyNumberFormat="1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>
      <alignment horizontal="left" wrapText="1"/>
    </xf>
    <xf numFmtId="0" fontId="23" fillId="4" borderId="30" xfId="1" applyFont="1" applyFill="1" applyBorder="1" applyAlignment="1" applyProtection="1">
      <alignment horizontal="center" vertical="center" wrapText="1"/>
      <protection hidden="1"/>
    </xf>
    <xf numFmtId="0" fontId="23" fillId="4" borderId="17" xfId="1" applyFont="1" applyFill="1" applyBorder="1" applyAlignment="1" applyProtection="1">
      <alignment horizontal="center" vertical="center" wrapText="1"/>
      <protection hidden="1"/>
    </xf>
    <xf numFmtId="0" fontId="23" fillId="4" borderId="34" xfId="1" applyFont="1" applyFill="1" applyBorder="1" applyAlignment="1" applyProtection="1">
      <alignment horizontal="center" vertical="center" wrapText="1"/>
      <protection hidden="1"/>
    </xf>
    <xf numFmtId="0" fontId="39" fillId="4" borderId="11" xfId="1" applyFont="1" applyFill="1" applyBorder="1" applyAlignment="1" applyProtection="1">
      <alignment horizontal="center" vertical="center" wrapText="1"/>
      <protection hidden="1"/>
    </xf>
    <xf numFmtId="0" fontId="22" fillId="4" borderId="19" xfId="1" applyFont="1" applyFill="1" applyBorder="1" applyAlignment="1" applyProtection="1">
      <alignment horizontal="center" vertical="center" wrapText="1"/>
      <protection hidden="1"/>
    </xf>
    <xf numFmtId="0" fontId="22" fillId="4" borderId="12" xfId="1" applyFont="1" applyFill="1" applyBorder="1" applyAlignment="1" applyProtection="1">
      <alignment horizontal="center" vertical="center" wrapText="1"/>
      <protection hidden="1"/>
    </xf>
    <xf numFmtId="0" fontId="8" fillId="0" borderId="93" xfId="1" applyFont="1" applyFill="1" applyBorder="1" applyAlignment="1" applyProtection="1">
      <alignment horizontal="center" vertical="center" wrapText="1"/>
      <protection locked="0" hidden="1"/>
    </xf>
    <xf numFmtId="0" fontId="8" fillId="0" borderId="94" xfId="1" applyFont="1" applyFill="1" applyBorder="1" applyAlignment="1" applyProtection="1">
      <alignment horizontal="center" vertical="center" wrapText="1"/>
      <protection locked="0" hidden="1"/>
    </xf>
    <xf numFmtId="0" fontId="8" fillId="0" borderId="15" xfId="1" applyFont="1" applyFill="1" applyBorder="1" applyAlignment="1" applyProtection="1">
      <alignment horizontal="center" vertical="center" wrapText="1"/>
      <protection locked="0" hidden="1"/>
    </xf>
    <xf numFmtId="0" fontId="8" fillId="0" borderId="95" xfId="1" applyFont="1" applyFill="1" applyBorder="1" applyAlignment="1" applyProtection="1">
      <alignment horizontal="center" vertical="center" wrapText="1"/>
      <protection locked="0" hidden="1"/>
    </xf>
    <xf numFmtId="0" fontId="0" fillId="2" borderId="93" xfId="0" applyFill="1" applyBorder="1" applyAlignment="1">
      <alignment horizontal="center" wrapText="1"/>
    </xf>
    <xf numFmtId="0" fontId="0" fillId="2" borderId="9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95" xfId="0" applyFill="1" applyBorder="1" applyAlignment="1">
      <alignment horizontal="center" wrapText="1"/>
    </xf>
    <xf numFmtId="165" fontId="8" fillId="0" borderId="20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1" xfId="1" applyFont="1" applyFill="1" applyBorder="1" applyAlignment="1" applyProtection="1">
      <alignment horizontal="center" vertical="center" wrapText="1"/>
      <protection locked="0" hidden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3" xfId="0" applyFill="1" applyBorder="1" applyAlignment="1">
      <alignment horizontal="center" vertical="center" wrapText="1"/>
    </xf>
    <xf numFmtId="0" fontId="0" fillId="2" borderId="9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95" xfId="0" applyFill="1" applyBorder="1" applyAlignment="1">
      <alignment horizontal="center" vertical="center" wrapText="1"/>
    </xf>
    <xf numFmtId="0" fontId="22" fillId="4" borderId="21" xfId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B0DD7F"/>
      <color rgb="FF007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nk@pravex.kiev.u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ank@pravex.kiev.u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21" zoomScale="85" zoomScaleNormal="85" workbookViewId="0">
      <selection activeCell="A32" sqref="A32:C32"/>
    </sheetView>
  </sheetViews>
  <sheetFormatPr defaultRowHeight="14.5" x14ac:dyDescent="0.35"/>
  <cols>
    <col min="1" max="1" width="45.54296875" style="2" customWidth="1"/>
    <col min="2" max="2" width="6.54296875" style="2" customWidth="1"/>
    <col min="3" max="3" width="60" style="2" customWidth="1"/>
    <col min="4" max="4" width="14.54296875" style="183" customWidth="1"/>
    <col min="5" max="5" width="9.1796875" style="183"/>
  </cols>
  <sheetData>
    <row r="1" spans="1:5" ht="87" x14ac:dyDescent="0.35">
      <c r="C1" s="232" t="s">
        <v>523</v>
      </c>
    </row>
    <row r="2" spans="1:5" ht="15" thickBot="1" x14ac:dyDescent="0.4">
      <c r="A2" s="250" t="s">
        <v>0</v>
      </c>
      <c r="B2" s="251"/>
      <c r="C2" s="251"/>
    </row>
    <row r="3" spans="1:5" ht="15" customHeight="1" x14ac:dyDescent="0.35">
      <c r="A3" s="252" t="s">
        <v>1</v>
      </c>
      <c r="B3" s="255" t="s">
        <v>99</v>
      </c>
      <c r="C3" s="256"/>
    </row>
    <row r="4" spans="1:5" ht="15" thickBot="1" x14ac:dyDescent="0.4">
      <c r="A4" s="253"/>
      <c r="B4" s="257"/>
      <c r="C4" s="258"/>
    </row>
    <row r="5" spans="1:5" ht="15" thickBot="1" x14ac:dyDescent="0.4">
      <c r="A5" s="254"/>
      <c r="B5" s="259" t="s">
        <v>504</v>
      </c>
      <c r="C5" s="260"/>
      <c r="D5" s="183" t="str">
        <f>B5</f>
        <v xml:space="preserve">Відділення «Буковинська обласна дирекція» </v>
      </c>
      <c r="E5" s="230" t="s">
        <v>520</v>
      </c>
    </row>
    <row r="6" spans="1:5" ht="15" customHeight="1" x14ac:dyDescent="0.35">
      <c r="A6" s="252" t="s">
        <v>2</v>
      </c>
      <c r="B6" s="255" t="s">
        <v>3</v>
      </c>
      <c r="C6" s="256"/>
    </row>
    <row r="7" spans="1:5" ht="15" thickBot="1" x14ac:dyDescent="0.4">
      <c r="A7" s="253"/>
      <c r="B7" s="261" t="s">
        <v>4</v>
      </c>
      <c r="C7" s="262"/>
    </row>
    <row r="8" spans="1:5" ht="15" thickBot="1" x14ac:dyDescent="0.4">
      <c r="A8" s="254"/>
      <c r="B8" s="263" t="str">
        <f>IF(B5=Лист1!B2,Лист1!F2,IF(B5=Лист1!B3,Лист1!F3,IF(B5=Лист1!B4,Лист1!F4,IF(паспорт!B5=Лист1!B5,Лист1!F5,IF(B5=Лист1!B6,Лист1!F6,IF(паспорт!B5=Лист1!B7,Лист1!F7,IF(B5=Лист1!B8,Лист1!F8,IF(паспорт!B5=Лист1!B9,Лист1!F9,IF(паспорт!B5=Лист1!B10,Лист1!F10,IF(B5=Лист1!B11,Лист1!F11,IF(паспорт!B5=Лист1!B12,Лист1!F12,IF(паспорт!B5=Лист1!B13,Лист1!F13,IF(B5=Лист1!B14,Лист1!F14,IF(паспорт!B5=Лист1!B15,Лист1!F15,IF(паспорт!B5=Лист1!B16,Лист1!F16,IF(паспорт!B5=Лист1!B17,Лист1!F17,IF(B5=Лист1!B18,Лист1!F18,IF(паспорт!B5=Лист1!B19,Лист1!F19,IF(паспорт!B5=Лист1!B20,Лист1!F20,IF(паспорт!B5=Лист1!B21,Лист1!F21,IF(B5=Лист1!B22,Лист1!F22,IF(паспорт!B5=Лист1!B23,Лист1!F23,IF(паспорт!B5=Лист1!B24,Лист1!F24,IF(паспорт!B5=Лист1!B25,Лист1!F25,IF(B5=Лист1!B26,Лист1!F26,IF(паспорт!B5=Лист1!B27,Лист1!F27,IF(паспорт!B5=Лист1!B28,Лист1!F28,IF(паспорт!B5=Лист1!B29,Лист1!F29,IF(B5=Лист1!B30,Лист1!F30,IF(паспорт!B5=Лист1!B31,Лист1!F31,IF(паспорт!B5=Лист1!B32,Лист1!F32,IF(паспорт!B5=Лист1!B33,Лист1!F33,IF(паспорт!B5=Лист1!B34,Лист1!F34,IF(B5=Лист1!B35,Лист1!F35,IF(паспорт!B5=Лист1!B36,Лист1!F36,IF(паспорт!B5=Лист1!B37,Лист1!F37,IF(паспорт!B5=Лист1!B38,Лист1!F38,IF(паспорт!B5=Лист1!B39,Лист1!F39,IF(B5=Лист1!B40,Лист1!F40,IF(паспорт!B5=Лист1!B41,Лист1!F41,IF(паспорт!B5=Лист1!B42,Лист1!F42,IF(паспорт!B5=Лист1!B43,Лист1!F43,IF(B5=Лист1!B44,Лист1!F44,IF(паспорт!B5=Лист1!B45,Лист1!F45,Лист1!F46))))))))))))))))))))))))))))))))))))))))))))</f>
        <v xml:space="preserve">58002, м. Чернівці, 
вул. Івана Франка,1 </v>
      </c>
      <c r="C8" s="264"/>
    </row>
    <row r="9" spans="1:5" x14ac:dyDescent="0.35">
      <c r="A9" s="265" t="s">
        <v>5</v>
      </c>
      <c r="B9" s="267" t="s">
        <v>6</v>
      </c>
      <c r="C9" s="268"/>
    </row>
    <row r="10" spans="1:5" ht="15" thickBot="1" x14ac:dyDescent="0.4">
      <c r="A10" s="266"/>
      <c r="B10" s="269" t="s">
        <v>100</v>
      </c>
      <c r="C10" s="270"/>
    </row>
    <row r="11" spans="1:5" ht="15" thickBot="1" x14ac:dyDescent="0.4">
      <c r="A11" s="205" t="s">
        <v>7</v>
      </c>
      <c r="B11" s="248" t="s">
        <v>8</v>
      </c>
      <c r="C11" s="249"/>
    </row>
    <row r="12" spans="1:5" ht="15" thickBot="1" x14ac:dyDescent="0.4">
      <c r="A12" s="205" t="s">
        <v>9</v>
      </c>
      <c r="B12" s="248" t="s">
        <v>10</v>
      </c>
      <c r="C12" s="249"/>
    </row>
    <row r="13" spans="1:5" ht="15" thickBot="1" x14ac:dyDescent="0.4">
      <c r="A13" s="205" t="s">
        <v>11</v>
      </c>
      <c r="B13" s="248" t="s">
        <v>12</v>
      </c>
      <c r="C13" s="249"/>
    </row>
    <row r="14" spans="1:5" ht="15.75" customHeight="1" thickBot="1" x14ac:dyDescent="0.4">
      <c r="A14" s="271" t="s">
        <v>13</v>
      </c>
      <c r="B14" s="272"/>
      <c r="C14" s="273"/>
    </row>
    <row r="15" spans="1:5" ht="15.75" customHeight="1" thickBot="1" x14ac:dyDescent="0.4">
      <c r="A15" s="206" t="s">
        <v>146</v>
      </c>
      <c r="B15" s="282" t="s">
        <v>147</v>
      </c>
      <c r="C15" s="283"/>
    </row>
    <row r="16" spans="1:5" ht="15.75" customHeight="1" thickBot="1" x14ac:dyDescent="0.4">
      <c r="A16" s="206" t="s">
        <v>148</v>
      </c>
      <c r="B16" s="284"/>
      <c r="C16" s="285"/>
    </row>
    <row r="17" spans="1:5" ht="15.75" customHeight="1" thickBot="1" x14ac:dyDescent="0.4">
      <c r="A17" s="206" t="s">
        <v>7</v>
      </c>
      <c r="B17" s="284"/>
      <c r="C17" s="285"/>
    </row>
    <row r="18" spans="1:5" ht="15.75" customHeight="1" thickBot="1" x14ac:dyDescent="0.4">
      <c r="A18" s="206" t="s">
        <v>9</v>
      </c>
      <c r="B18" s="284"/>
      <c r="C18" s="285"/>
    </row>
    <row r="19" spans="1:5" ht="15.75" customHeight="1" thickBot="1" x14ac:dyDescent="0.4">
      <c r="A19" s="206" t="s">
        <v>149</v>
      </c>
      <c r="B19" s="286"/>
      <c r="C19" s="287"/>
    </row>
    <row r="20" spans="1:5" ht="15.75" customHeight="1" thickBot="1" x14ac:dyDescent="0.4">
      <c r="A20" s="271" t="s">
        <v>14</v>
      </c>
      <c r="B20" s="272"/>
      <c r="C20" s="273"/>
    </row>
    <row r="21" spans="1:5" ht="15" thickBot="1" x14ac:dyDescent="0.4">
      <c r="A21" s="205" t="s">
        <v>15</v>
      </c>
      <c r="B21" s="248" t="s">
        <v>72</v>
      </c>
      <c r="C21" s="249"/>
    </row>
    <row r="22" spans="1:5" ht="15" thickBot="1" x14ac:dyDescent="0.4">
      <c r="A22" s="205" t="s">
        <v>16</v>
      </c>
      <c r="B22" s="274">
        <f>'график анн'!F7</f>
        <v>1000000</v>
      </c>
      <c r="C22" s="275"/>
    </row>
    <row r="23" spans="1:5" ht="15" thickBot="1" x14ac:dyDescent="0.4">
      <c r="A23" s="205" t="s">
        <v>144</v>
      </c>
      <c r="B23" s="248" t="str">
        <f>CONCATENATE(E23,D23)</f>
        <v>60 міс.</v>
      </c>
      <c r="C23" s="249"/>
      <c r="D23" s="183" t="s">
        <v>150</v>
      </c>
      <c r="E23" s="183">
        <f>'график анн'!F8</f>
        <v>60</v>
      </c>
    </row>
    <row r="24" spans="1:5" x14ac:dyDescent="0.35">
      <c r="A24" s="276" t="s">
        <v>17</v>
      </c>
      <c r="B24" s="278" t="s">
        <v>114</v>
      </c>
      <c r="C24" s="279"/>
    </row>
    <row r="25" spans="1:5" ht="15" thickBot="1" x14ac:dyDescent="0.4">
      <c r="A25" s="277"/>
      <c r="B25" s="280"/>
      <c r="C25" s="281"/>
    </row>
    <row r="26" spans="1:5" ht="27" customHeight="1" thickBot="1" x14ac:dyDescent="0.4">
      <c r="A26" s="207" t="s">
        <v>18</v>
      </c>
      <c r="B26" s="248" t="s">
        <v>115</v>
      </c>
      <c r="C26" s="249"/>
    </row>
    <row r="27" spans="1:5" ht="15" thickBot="1" x14ac:dyDescent="0.4">
      <c r="A27" s="208" t="s">
        <v>19</v>
      </c>
      <c r="B27" s="248" t="s">
        <v>118</v>
      </c>
      <c r="C27" s="249"/>
    </row>
    <row r="28" spans="1:5" ht="15" thickBot="1" x14ac:dyDescent="0.4">
      <c r="A28" s="208" t="s">
        <v>20</v>
      </c>
      <c r="B28" s="248" t="s">
        <v>21</v>
      </c>
      <c r="C28" s="249"/>
    </row>
    <row r="29" spans="1:5" ht="20.25" customHeight="1" x14ac:dyDescent="0.35">
      <c r="A29" s="252" t="s">
        <v>22</v>
      </c>
      <c r="B29" s="278" t="s">
        <v>108</v>
      </c>
      <c r="C29" s="279"/>
    </row>
    <row r="30" spans="1:5" ht="15" thickBot="1" x14ac:dyDescent="0.4">
      <c r="A30" s="253"/>
      <c r="B30" s="280"/>
      <c r="C30" s="281"/>
    </row>
    <row r="31" spans="1:5" ht="19.5" customHeight="1" thickBot="1" x14ac:dyDescent="0.4">
      <c r="A31" s="271" t="s">
        <v>145</v>
      </c>
      <c r="B31" s="272"/>
      <c r="C31" s="273"/>
    </row>
    <row r="32" spans="1:5" ht="19.5" customHeight="1" thickBot="1" x14ac:dyDescent="0.4">
      <c r="A32" s="209" t="s">
        <v>532</v>
      </c>
      <c r="B32" s="299">
        <v>0</v>
      </c>
      <c r="C32" s="300"/>
    </row>
    <row r="33" spans="1:3" ht="19.5" customHeight="1" thickBot="1" x14ac:dyDescent="0.4">
      <c r="A33" s="209" t="s">
        <v>533</v>
      </c>
      <c r="B33" s="291">
        <f>'график анн'!F9</f>
        <v>0.18990000000000001</v>
      </c>
      <c r="C33" s="292"/>
    </row>
    <row r="34" spans="1:3" ht="15" thickBot="1" x14ac:dyDescent="0.4">
      <c r="A34" s="208" t="s">
        <v>24</v>
      </c>
      <c r="B34" s="280" t="s">
        <v>116</v>
      </c>
      <c r="C34" s="281"/>
    </row>
    <row r="35" spans="1:3" ht="21" customHeight="1" thickBot="1" x14ac:dyDescent="0.4">
      <c r="A35" s="208" t="s">
        <v>25</v>
      </c>
      <c r="B35" s="248" t="s">
        <v>151</v>
      </c>
      <c r="C35" s="249"/>
    </row>
    <row r="36" spans="1:3" ht="23.5" thickBot="1" x14ac:dyDescent="0.4">
      <c r="A36" s="208" t="s">
        <v>26</v>
      </c>
      <c r="B36" s="248" t="s">
        <v>27</v>
      </c>
      <c r="C36" s="249"/>
    </row>
    <row r="37" spans="1:3" ht="15" thickBot="1" x14ac:dyDescent="0.4">
      <c r="A37" s="208" t="s">
        <v>98</v>
      </c>
      <c r="B37" s="291">
        <f>'график анн'!P7</f>
        <v>0.01</v>
      </c>
      <c r="C37" s="292"/>
    </row>
    <row r="38" spans="1:3" ht="15" thickBot="1" x14ac:dyDescent="0.4">
      <c r="A38" s="208" t="s">
        <v>28</v>
      </c>
      <c r="B38" s="293" t="s">
        <v>21</v>
      </c>
      <c r="C38" s="249"/>
    </row>
    <row r="39" spans="1:3" ht="15" thickBot="1" x14ac:dyDescent="0.4">
      <c r="A39" s="210" t="s">
        <v>125</v>
      </c>
      <c r="B39" s="274">
        <f>'график анн'!R11</f>
        <v>0</v>
      </c>
      <c r="C39" s="275"/>
    </row>
    <row r="40" spans="1:3" ht="26.25" customHeight="1" thickBot="1" x14ac:dyDescent="0.4">
      <c r="A40" s="209" t="s">
        <v>29</v>
      </c>
      <c r="B40" s="274" t="s">
        <v>21</v>
      </c>
      <c r="C40" s="249"/>
    </row>
    <row r="41" spans="1:3" ht="15" hidden="1" thickBot="1" x14ac:dyDescent="0.4">
      <c r="A41" s="208"/>
      <c r="B41" s="211"/>
    </row>
    <row r="42" spans="1:3" ht="33" customHeight="1" thickBot="1" x14ac:dyDescent="0.4">
      <c r="A42" s="212" t="s">
        <v>152</v>
      </c>
      <c r="B42" s="296" t="s">
        <v>153</v>
      </c>
      <c r="C42" s="297"/>
    </row>
    <row r="43" spans="1:3" ht="31.5" customHeight="1" thickBot="1" x14ac:dyDescent="0.4">
      <c r="A43" s="212" t="s">
        <v>154</v>
      </c>
      <c r="B43" s="296" t="s">
        <v>155</v>
      </c>
      <c r="C43" s="297"/>
    </row>
    <row r="44" spans="1:3" ht="15" thickBot="1" x14ac:dyDescent="0.4">
      <c r="A44" s="208" t="s">
        <v>30</v>
      </c>
      <c r="B44" s="274">
        <f ca="1">B45-B22</f>
        <v>582550.88077446329</v>
      </c>
      <c r="C44" s="275"/>
    </row>
    <row r="45" spans="1:3" ht="35" thickBot="1" x14ac:dyDescent="0.4">
      <c r="A45" s="208" t="s">
        <v>31</v>
      </c>
      <c r="B45" s="274">
        <f ca="1">SUM('дод 1 до дог кредит'!Q30:Q114)</f>
        <v>1582550.8807744633</v>
      </c>
      <c r="C45" s="275"/>
    </row>
    <row r="46" spans="1:3" ht="15" thickBot="1" x14ac:dyDescent="0.4">
      <c r="A46" s="210" t="s">
        <v>32</v>
      </c>
      <c r="B46" s="294">
        <f ca="1">SUM('график анн'!Q34:Q105)</f>
        <v>0.22757745385169983</v>
      </c>
      <c r="C46" s="295"/>
    </row>
    <row r="47" spans="1:3" ht="48" customHeight="1" thickBot="1" x14ac:dyDescent="0.4">
      <c r="A47" s="288" t="s">
        <v>33</v>
      </c>
      <c r="B47" s="289"/>
      <c r="C47" s="290"/>
    </row>
    <row r="48" spans="1:3" ht="24" customHeight="1" thickBot="1" x14ac:dyDescent="0.4">
      <c r="A48" s="288" t="s">
        <v>34</v>
      </c>
      <c r="B48" s="289"/>
      <c r="C48" s="290"/>
    </row>
    <row r="49" spans="1:5" ht="24" customHeight="1" thickBot="1" x14ac:dyDescent="0.4">
      <c r="A49" s="288" t="s">
        <v>35</v>
      </c>
      <c r="B49" s="289"/>
      <c r="C49" s="290"/>
    </row>
    <row r="50" spans="1:5" ht="24" customHeight="1" thickBot="1" x14ac:dyDescent="0.4">
      <c r="A50" s="213" t="s">
        <v>120</v>
      </c>
      <c r="B50" s="248" t="s">
        <v>27</v>
      </c>
      <c r="C50" s="249"/>
    </row>
    <row r="51" spans="1:5" ht="24" customHeight="1" thickBot="1" x14ac:dyDescent="0.4">
      <c r="A51" s="209" t="s">
        <v>121</v>
      </c>
      <c r="B51" s="274" t="str">
        <f>IF(D51=0,E51,CONCATENATE(E51,D51))</f>
        <v>ні</v>
      </c>
      <c r="C51" s="275"/>
      <c r="D51" s="186">
        <f>'график анн'!I34</f>
        <v>0</v>
      </c>
      <c r="E51" s="183" t="str">
        <f>IF(D51&gt;0,"так, ","ні")</f>
        <v>ні</v>
      </c>
    </row>
    <row r="52" spans="1:5" ht="24" customHeight="1" thickBot="1" x14ac:dyDescent="0.4">
      <c r="A52" s="209" t="s">
        <v>122</v>
      </c>
      <c r="B52" s="274" t="str">
        <f t="shared" ref="B52:B54" si="0">IF(D52=0,E52,CONCATENATE(E52,D52))</f>
        <v>ні</v>
      </c>
      <c r="C52" s="275"/>
      <c r="D52" s="186">
        <f>'график анн'!J34</f>
        <v>0</v>
      </c>
      <c r="E52" s="183" t="str">
        <f>IF(D52&gt;0,"так, ","ні")</f>
        <v>ні</v>
      </c>
    </row>
    <row r="53" spans="1:5" ht="24" customHeight="1" thickBot="1" x14ac:dyDescent="0.4">
      <c r="A53" s="209" t="s">
        <v>123</v>
      </c>
      <c r="B53" s="274" t="str">
        <f t="shared" si="0"/>
        <v>так, 59900</v>
      </c>
      <c r="C53" s="275"/>
      <c r="D53" s="186">
        <f>'график анн'!Q14+'график анн'!Q15</f>
        <v>59900</v>
      </c>
      <c r="E53" s="183" t="str">
        <f>IF(D53&gt;0,"так, ","ні")</f>
        <v xml:space="preserve">так, </v>
      </c>
    </row>
    <row r="54" spans="1:5" ht="24" customHeight="1" thickBot="1" x14ac:dyDescent="0.4">
      <c r="A54" s="209" t="s">
        <v>124</v>
      </c>
      <c r="B54" s="274" t="str">
        <f t="shared" si="0"/>
        <v>ні</v>
      </c>
      <c r="C54" s="275"/>
      <c r="D54" s="186">
        <f>'график анн'!L34</f>
        <v>0</v>
      </c>
      <c r="E54" s="183" t="str">
        <f>IF(D54&gt;0,"так, ","ні")</f>
        <v>ні</v>
      </c>
    </row>
    <row r="55" spans="1:5" ht="15" thickBot="1" x14ac:dyDescent="0.4">
      <c r="A55" s="271" t="s">
        <v>36</v>
      </c>
      <c r="B55" s="272"/>
      <c r="C55" s="273"/>
    </row>
    <row r="56" spans="1:5" ht="73.5" customHeight="1" thickBot="1" x14ac:dyDescent="0.4">
      <c r="A56" s="209" t="s">
        <v>37</v>
      </c>
      <c r="B56" s="248" t="s">
        <v>143</v>
      </c>
      <c r="C56" s="249"/>
    </row>
    <row r="57" spans="1:5" ht="15" thickBot="1" x14ac:dyDescent="0.4">
      <c r="A57" s="271" t="s">
        <v>38</v>
      </c>
      <c r="B57" s="272"/>
      <c r="C57" s="273"/>
    </row>
    <row r="58" spans="1:5" ht="23.5" thickBot="1" x14ac:dyDescent="0.4">
      <c r="A58" s="208" t="s">
        <v>39</v>
      </c>
      <c r="B58" s="248" t="s">
        <v>156</v>
      </c>
      <c r="C58" s="249"/>
    </row>
    <row r="59" spans="1:5" ht="15" thickBot="1" x14ac:dyDescent="0.4">
      <c r="A59" s="208" t="s">
        <v>40</v>
      </c>
      <c r="B59" s="248" t="s">
        <v>41</v>
      </c>
      <c r="C59" s="249"/>
    </row>
    <row r="60" spans="1:5" ht="15" thickBot="1" x14ac:dyDescent="0.4">
      <c r="A60" s="212" t="s">
        <v>157</v>
      </c>
      <c r="B60" s="296" t="s">
        <v>21</v>
      </c>
      <c r="C60" s="297"/>
    </row>
    <row r="61" spans="1:5" ht="23.5" thickBot="1" x14ac:dyDescent="0.4">
      <c r="A61" s="208" t="s">
        <v>117</v>
      </c>
      <c r="B61" s="248" t="s">
        <v>73</v>
      </c>
      <c r="C61" s="249"/>
    </row>
    <row r="62" spans="1:5" ht="15" thickBot="1" x14ac:dyDescent="0.4">
      <c r="A62" s="210" t="s">
        <v>42</v>
      </c>
      <c r="B62" s="248" t="s">
        <v>21</v>
      </c>
      <c r="C62" s="249"/>
    </row>
    <row r="63" spans="1:5" ht="15" thickBot="1" x14ac:dyDescent="0.4">
      <c r="A63" s="271" t="s">
        <v>43</v>
      </c>
      <c r="B63" s="272"/>
      <c r="C63" s="273"/>
    </row>
    <row r="64" spans="1:5" ht="36" customHeight="1" thickBot="1" x14ac:dyDescent="0.4">
      <c r="A64" s="248" t="s">
        <v>44</v>
      </c>
      <c r="B64" s="298"/>
      <c r="C64" s="249"/>
    </row>
    <row r="65" spans="1:7" ht="46.5" thickBot="1" x14ac:dyDescent="0.4">
      <c r="A65" s="209" t="s">
        <v>45</v>
      </c>
      <c r="B65" s="248" t="s">
        <v>110</v>
      </c>
      <c r="C65" s="249"/>
    </row>
    <row r="66" spans="1:7" ht="36" customHeight="1" thickBot="1" x14ac:dyDescent="0.4">
      <c r="A66" s="248" t="s">
        <v>46</v>
      </c>
      <c r="B66" s="298"/>
      <c r="C66" s="249"/>
    </row>
    <row r="67" spans="1:7" ht="36" customHeight="1" thickBot="1" x14ac:dyDescent="0.4">
      <c r="A67" s="248" t="s">
        <v>47</v>
      </c>
      <c r="B67" s="298"/>
      <c r="C67" s="249"/>
      <c r="F67" s="183"/>
      <c r="G67" s="184"/>
    </row>
    <row r="68" spans="1:7" ht="15" customHeight="1" x14ac:dyDescent="0.35">
      <c r="A68" s="276" t="str">
        <f ca="1">CONCATENATE(E68,TEXT(D68,"dd.mm.yyyy"))</f>
        <v>Дата надання інформації: 01.02.2021</v>
      </c>
      <c r="B68" s="278" t="str">
        <f ca="1">CONCATENATE(E69,TEXT(D69,"dd.mm.yyyy"))</f>
        <v>Ця інформація зберігає чинність та є актуальною до 31.01.2026</v>
      </c>
      <c r="C68" s="279"/>
      <c r="D68" s="231">
        <f ca="1">TODAY()</f>
        <v>44228</v>
      </c>
      <c r="E68" s="183" t="s">
        <v>521</v>
      </c>
      <c r="F68" s="183"/>
      <c r="G68" s="184"/>
    </row>
    <row r="69" spans="1:7" ht="15" thickBot="1" x14ac:dyDescent="0.4">
      <c r="A69" s="277"/>
      <c r="B69" s="280"/>
      <c r="C69" s="281"/>
      <c r="D69" s="231">
        <f ca="1">EDATE(D68,'график анн'!F8)-1</f>
        <v>46053</v>
      </c>
      <c r="E69" s="301" t="s">
        <v>522</v>
      </c>
      <c r="F69" s="183"/>
      <c r="G69" s="184"/>
    </row>
    <row r="70" spans="1:7" x14ac:dyDescent="0.35">
      <c r="A70" s="214"/>
      <c r="B70" s="278" t="s">
        <v>49</v>
      </c>
      <c r="C70" s="279"/>
      <c r="E70" s="301"/>
      <c r="F70" s="183"/>
      <c r="G70" s="184"/>
    </row>
    <row r="71" spans="1:7" ht="15" thickBot="1" x14ac:dyDescent="0.4">
      <c r="A71" s="215" t="s">
        <v>48</v>
      </c>
      <c r="B71" s="280"/>
      <c r="C71" s="281"/>
      <c r="F71" s="184"/>
      <c r="G71" s="184"/>
    </row>
    <row r="72" spans="1:7" ht="24" customHeight="1" thickBot="1" x14ac:dyDescent="0.4">
      <c r="A72" s="248" t="s">
        <v>50</v>
      </c>
      <c r="B72" s="298"/>
      <c r="C72" s="249"/>
      <c r="F72" s="184"/>
      <c r="G72" s="184"/>
    </row>
    <row r="73" spans="1:7" ht="48" customHeight="1" thickBot="1" x14ac:dyDescent="0.4">
      <c r="A73" s="248" t="s">
        <v>51</v>
      </c>
      <c r="B73" s="298"/>
      <c r="C73" s="249"/>
      <c r="F73" s="184"/>
      <c r="G73" s="184"/>
    </row>
    <row r="74" spans="1:7" x14ac:dyDescent="0.35">
      <c r="A74" s="216"/>
      <c r="B74" s="278" t="s">
        <v>53</v>
      </c>
      <c r="C74" s="279"/>
    </row>
    <row r="75" spans="1:7" ht="15" thickBot="1" x14ac:dyDescent="0.4">
      <c r="A75" s="215" t="s">
        <v>52</v>
      </c>
      <c r="B75" s="280"/>
      <c r="C75" s="281"/>
    </row>
    <row r="76" spans="1:7" x14ac:dyDescent="0.35">
      <c r="A76" s="217"/>
    </row>
  </sheetData>
  <mergeCells count="71">
    <mergeCell ref="B32:C32"/>
    <mergeCell ref="B33:C33"/>
    <mergeCell ref="E69:E70"/>
    <mergeCell ref="B50:C50"/>
    <mergeCell ref="B51:C51"/>
    <mergeCell ref="B52:C52"/>
    <mergeCell ref="B53:C53"/>
    <mergeCell ref="B54:C54"/>
    <mergeCell ref="B70:C71"/>
    <mergeCell ref="A63:C63"/>
    <mergeCell ref="A55:C55"/>
    <mergeCell ref="B56:C56"/>
    <mergeCell ref="A57:C57"/>
    <mergeCell ref="B58:C58"/>
    <mergeCell ref="B59:C59"/>
    <mergeCell ref="B61:C61"/>
    <mergeCell ref="B62:C62"/>
    <mergeCell ref="B60:C60"/>
    <mergeCell ref="A72:C72"/>
    <mergeCell ref="A73:C73"/>
    <mergeCell ref="B74:C75"/>
    <mergeCell ref="A64:C64"/>
    <mergeCell ref="B65:C65"/>
    <mergeCell ref="A66:C66"/>
    <mergeCell ref="A67:C67"/>
    <mergeCell ref="A68:A69"/>
    <mergeCell ref="B68:C69"/>
    <mergeCell ref="A49:C49"/>
    <mergeCell ref="B34:C34"/>
    <mergeCell ref="B35:C35"/>
    <mergeCell ref="B36:C36"/>
    <mergeCell ref="B37:C37"/>
    <mergeCell ref="B38:C38"/>
    <mergeCell ref="B40:C40"/>
    <mergeCell ref="B44:C44"/>
    <mergeCell ref="B45:C45"/>
    <mergeCell ref="B46:C46"/>
    <mergeCell ref="A47:C47"/>
    <mergeCell ref="A48:C48"/>
    <mergeCell ref="B39:C39"/>
    <mergeCell ref="B42:C42"/>
    <mergeCell ref="B43:C43"/>
    <mergeCell ref="A31:C31"/>
    <mergeCell ref="A14:C14"/>
    <mergeCell ref="A20:C20"/>
    <mergeCell ref="B21:C21"/>
    <mergeCell ref="B22:C22"/>
    <mergeCell ref="B23:C23"/>
    <mergeCell ref="A24:A25"/>
    <mergeCell ref="B24:C25"/>
    <mergeCell ref="B26:C26"/>
    <mergeCell ref="B27:C27"/>
    <mergeCell ref="B28:C28"/>
    <mergeCell ref="A29:A30"/>
    <mergeCell ref="B29:C30"/>
    <mergeCell ref="B15:C19"/>
    <mergeCell ref="B13:C13"/>
    <mergeCell ref="A2:C2"/>
    <mergeCell ref="A3:A5"/>
    <mergeCell ref="B3:C3"/>
    <mergeCell ref="B4:C4"/>
    <mergeCell ref="B5:C5"/>
    <mergeCell ref="A6:A8"/>
    <mergeCell ref="B6:C6"/>
    <mergeCell ref="B7:C7"/>
    <mergeCell ref="B8:C8"/>
    <mergeCell ref="A9:A10"/>
    <mergeCell ref="B9:C9"/>
    <mergeCell ref="B10:C10"/>
    <mergeCell ref="B11:C11"/>
    <mergeCell ref="B12:C12"/>
  </mergeCells>
  <hyperlinks>
    <hyperlink ref="B12" r:id="rId1" display="mailto:bank@pravex.kiev.ua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Лист1!$B$2:$B$46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96"/>
  <sheetViews>
    <sheetView tabSelected="1" zoomScale="60" zoomScaleNormal="60" workbookViewId="0">
      <selection activeCell="P18" sqref="P18:Q18"/>
    </sheetView>
  </sheetViews>
  <sheetFormatPr defaultRowHeight="14.5" x14ac:dyDescent="0.35"/>
  <cols>
    <col min="2" max="2" width="24.81640625" hidden="1" customWidth="1"/>
    <col min="3" max="3" width="19.1796875" customWidth="1"/>
    <col min="4" max="4" width="12.81640625" customWidth="1"/>
    <col min="5" max="5" width="15.81640625" customWidth="1"/>
    <col min="6" max="6" width="15.453125" customWidth="1"/>
    <col min="7" max="7" width="12.453125" customWidth="1"/>
    <col min="8" max="8" width="17.7265625" customWidth="1"/>
    <col min="9" max="11" width="16.453125" customWidth="1"/>
    <col min="12" max="12" width="17.7265625" customWidth="1"/>
    <col min="13" max="14" width="13.26953125" customWidth="1"/>
    <col min="15" max="15" width="23.90625" customWidth="1"/>
    <col min="16" max="16" width="14.54296875" customWidth="1"/>
    <col min="17" max="17" width="16.81640625" customWidth="1"/>
    <col min="18" max="18" width="12" customWidth="1"/>
    <col min="19" max="19" width="11" hidden="1" customWidth="1"/>
    <col min="21" max="21" width="9.1796875" customWidth="1"/>
    <col min="22" max="22" width="9.453125" hidden="1" customWidth="1"/>
    <col min="23" max="23" width="10.1796875" hidden="1" customWidth="1"/>
    <col min="31" max="33" width="0" hidden="1" customWidth="1"/>
  </cols>
  <sheetData>
    <row r="1" spans="1:32" ht="15.5" x14ac:dyDescent="0.35">
      <c r="A1" s="310" t="s">
        <v>109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</row>
    <row r="2" spans="1:32" x14ac:dyDescent="0.35">
      <c r="A2" s="2"/>
      <c r="B2" s="2"/>
      <c r="C2" s="3"/>
      <c r="D2" s="3"/>
      <c r="E2" s="3"/>
      <c r="F2" s="3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2" x14ac:dyDescent="0.35">
      <c r="A3" s="2"/>
      <c r="B3" s="163" t="s">
        <v>54</v>
      </c>
      <c r="C3" s="165" t="s">
        <v>54</v>
      </c>
      <c r="D3" s="166">
        <f ca="1">F3</f>
        <v>44228</v>
      </c>
      <c r="E3" s="167"/>
      <c r="F3" s="240">
        <f ca="1">TODAY()</f>
        <v>44228</v>
      </c>
      <c r="G3" s="65"/>
      <c r="H3" s="311" t="s">
        <v>105</v>
      </c>
      <c r="I3" s="311"/>
      <c r="J3" s="311"/>
      <c r="K3" s="311"/>
      <c r="L3" s="311"/>
      <c r="M3" s="311"/>
      <c r="N3" s="143"/>
      <c r="O3" s="143"/>
      <c r="P3" s="62"/>
      <c r="Q3" s="59"/>
      <c r="R3" s="2"/>
    </row>
    <row r="4" spans="1:32" hidden="1" x14ac:dyDescent="0.35">
      <c r="A4" s="2"/>
      <c r="B4" s="148" t="s">
        <v>55</v>
      </c>
      <c r="C4" s="168" t="s">
        <v>55</v>
      </c>
      <c r="D4" s="60">
        <f t="shared" ref="D4:D9" si="0">F4</f>
        <v>1000000</v>
      </c>
      <c r="E4" s="3"/>
      <c r="F4" s="169">
        <v>1000000</v>
      </c>
      <c r="G4" s="3"/>
      <c r="H4" s="312" t="s">
        <v>56</v>
      </c>
      <c r="I4" s="312"/>
      <c r="J4" s="312"/>
      <c r="K4" s="312"/>
      <c r="L4" s="312"/>
      <c r="M4" s="312"/>
      <c r="N4" s="144"/>
      <c r="O4" s="144"/>
      <c r="P4" s="63"/>
      <c r="Q4" s="58">
        <f>Q3*F7</f>
        <v>0</v>
      </c>
      <c r="R4" s="2"/>
    </row>
    <row r="5" spans="1:32" hidden="1" x14ac:dyDescent="0.35">
      <c r="A5" s="2"/>
      <c r="B5" s="148" t="s">
        <v>57</v>
      </c>
      <c r="C5" s="170" t="s">
        <v>57</v>
      </c>
      <c r="D5" s="61">
        <f t="shared" si="0"/>
        <v>300000</v>
      </c>
      <c r="E5" s="54"/>
      <c r="F5" s="171">
        <v>300000</v>
      </c>
      <c r="G5" s="4"/>
      <c r="H5" s="313" t="s">
        <v>58</v>
      </c>
      <c r="I5" s="313"/>
      <c r="J5" s="313"/>
      <c r="K5" s="313"/>
      <c r="L5" s="313"/>
      <c r="M5" s="313"/>
      <c r="N5" s="313"/>
      <c r="O5" s="313"/>
      <c r="P5" s="313"/>
      <c r="Q5" s="313"/>
      <c r="R5" s="2"/>
      <c r="V5" t="s">
        <v>74</v>
      </c>
      <c r="W5">
        <v>1700</v>
      </c>
    </row>
    <row r="6" spans="1:32" hidden="1" x14ac:dyDescent="0.35">
      <c r="A6" s="2"/>
      <c r="B6" s="164" t="s">
        <v>59</v>
      </c>
      <c r="C6" s="172" t="s">
        <v>59</v>
      </c>
      <c r="D6" s="109">
        <f t="shared" si="0"/>
        <v>0.3</v>
      </c>
      <c r="E6" s="110"/>
      <c r="F6" s="173">
        <f>F5/F4</f>
        <v>0.3</v>
      </c>
      <c r="G6" s="5"/>
      <c r="H6" s="314"/>
      <c r="I6" s="314"/>
      <c r="J6" s="314"/>
      <c r="K6" s="314"/>
      <c r="L6" s="314"/>
      <c r="M6" s="314"/>
      <c r="N6" s="145"/>
      <c r="O6" s="145"/>
      <c r="P6" s="64"/>
      <c r="Q6" s="56"/>
      <c r="R6" s="2"/>
    </row>
    <row r="7" spans="1:32" x14ac:dyDescent="0.35">
      <c r="A7" s="2"/>
      <c r="B7" s="65" t="s">
        <v>60</v>
      </c>
      <c r="C7" s="174" t="s">
        <v>60</v>
      </c>
      <c r="D7" s="108">
        <f t="shared" si="0"/>
        <v>1000000</v>
      </c>
      <c r="E7" s="86"/>
      <c r="F7" s="179">
        <v>1000000</v>
      </c>
      <c r="G7" s="5"/>
      <c r="H7" s="157" t="s">
        <v>529</v>
      </c>
      <c r="I7" s="158"/>
      <c r="J7" s="158"/>
      <c r="K7" s="158"/>
      <c r="L7" s="158"/>
      <c r="M7" s="158"/>
      <c r="N7" s="158"/>
      <c r="O7" s="158"/>
      <c r="P7" s="308">
        <v>0.01</v>
      </c>
      <c r="Q7" s="309"/>
      <c r="R7" s="183"/>
      <c r="S7" s="184"/>
      <c r="T7" s="184"/>
      <c r="W7">
        <f>F4/W5</f>
        <v>588.23529411764707</v>
      </c>
      <c r="AE7">
        <v>1</v>
      </c>
      <c r="AF7" s="53">
        <v>2181</v>
      </c>
    </row>
    <row r="8" spans="1:32" x14ac:dyDescent="0.35">
      <c r="A8" s="2"/>
      <c r="B8" s="65" t="s">
        <v>61</v>
      </c>
      <c r="C8" s="175" t="s">
        <v>61</v>
      </c>
      <c r="D8" s="87">
        <f>F8</f>
        <v>60</v>
      </c>
      <c r="E8" s="111"/>
      <c r="F8" s="180">
        <v>60</v>
      </c>
      <c r="G8" s="5"/>
      <c r="H8" s="159" t="str">
        <f>H4</f>
        <v>Одноразова комісія за надання кредиту, грн</v>
      </c>
      <c r="I8" s="158"/>
      <c r="J8" s="158"/>
      <c r="K8" s="158"/>
      <c r="L8" s="158"/>
      <c r="M8" s="158"/>
      <c r="N8" s="158"/>
      <c r="O8" s="158"/>
      <c r="P8" s="302">
        <f>P7*F7</f>
        <v>10000</v>
      </c>
      <c r="Q8" s="303"/>
      <c r="R8" s="162" t="s">
        <v>97</v>
      </c>
      <c r="S8" s="184" t="s">
        <v>97</v>
      </c>
      <c r="T8" s="185">
        <f>P8</f>
        <v>10000</v>
      </c>
      <c r="W8" t="str">
        <f>IF(W7&lt;165,"3%",IF(W7&gt;290,"5%","4%"))</f>
        <v>5%</v>
      </c>
      <c r="AE8" s="238">
        <v>2</v>
      </c>
      <c r="AF8" s="239">
        <f>IF($F$8&gt;12,$P$17,0)</f>
        <v>2500</v>
      </c>
    </row>
    <row r="9" spans="1:32" x14ac:dyDescent="0.35">
      <c r="A9" s="2"/>
      <c r="B9" s="65" t="s">
        <v>62</v>
      </c>
      <c r="C9" s="176" t="s">
        <v>62</v>
      </c>
      <c r="D9" s="177">
        <f t="shared" si="0"/>
        <v>0.18990000000000001</v>
      </c>
      <c r="E9" s="178"/>
      <c r="F9" s="247">
        <v>0.18990000000000001</v>
      </c>
      <c r="G9" s="5"/>
      <c r="H9" s="160" t="s">
        <v>119</v>
      </c>
      <c r="I9" s="161"/>
      <c r="J9" s="161"/>
      <c r="K9" s="161"/>
      <c r="L9" s="161"/>
      <c r="M9" s="161"/>
      <c r="N9" s="161"/>
      <c r="O9" s="161"/>
      <c r="P9" s="302">
        <v>0</v>
      </c>
      <c r="Q9" s="303"/>
      <c r="R9" s="186">
        <f>P9</f>
        <v>0</v>
      </c>
      <c r="S9" s="184" t="s">
        <v>96</v>
      </c>
      <c r="T9" s="187"/>
      <c r="AE9" s="238">
        <v>3</v>
      </c>
      <c r="AF9" s="239">
        <f>IF($F$8&gt;24,$P$17,0)</f>
        <v>2500</v>
      </c>
    </row>
    <row r="10" spans="1:32" x14ac:dyDescent="0.35">
      <c r="A10" s="2"/>
      <c r="B10" s="65"/>
      <c r="C10" s="244" t="s">
        <v>531</v>
      </c>
      <c r="D10" s="241"/>
      <c r="E10" s="242"/>
      <c r="F10" s="243">
        <v>0</v>
      </c>
      <c r="G10" s="5"/>
      <c r="H10" s="318" t="s">
        <v>132</v>
      </c>
      <c r="I10" s="319"/>
      <c r="J10" s="319"/>
      <c r="K10" s="319"/>
      <c r="L10" s="319"/>
      <c r="M10" s="320"/>
      <c r="N10" s="152"/>
      <c r="O10" s="152"/>
      <c r="P10" s="321">
        <v>0</v>
      </c>
      <c r="Q10" s="322"/>
      <c r="R10" s="183"/>
      <c r="S10" s="184"/>
      <c r="T10" s="187"/>
      <c r="AE10" s="238">
        <v>4</v>
      </c>
      <c r="AF10" s="239">
        <f>IF($F$8&gt;36,$P$17,0)</f>
        <v>2500</v>
      </c>
    </row>
    <row r="11" spans="1:32" x14ac:dyDescent="0.35">
      <c r="A11" s="2"/>
      <c r="B11" s="65"/>
      <c r="C11" s="65"/>
      <c r="D11" s="149"/>
      <c r="E11" s="3"/>
      <c r="F11" s="59"/>
      <c r="G11" s="5"/>
      <c r="H11" s="318" t="s">
        <v>133</v>
      </c>
      <c r="I11" s="319"/>
      <c r="J11" s="319"/>
      <c r="K11" s="319"/>
      <c r="L11" s="319"/>
      <c r="M11" s="320"/>
      <c r="N11" s="152"/>
      <c r="O11" s="152"/>
      <c r="P11" s="302">
        <f>F7*P10</f>
        <v>0</v>
      </c>
      <c r="Q11" s="303"/>
      <c r="R11" s="186">
        <f>P11</f>
        <v>0</v>
      </c>
      <c r="S11" s="184"/>
      <c r="T11" s="187"/>
      <c r="AE11" s="238">
        <v>5</v>
      </c>
      <c r="AF11" s="239">
        <f>IF($F$8&gt;48,$P$17,0)</f>
        <v>2500</v>
      </c>
    </row>
    <row r="12" spans="1:32" x14ac:dyDescent="0.35">
      <c r="A12" s="2"/>
      <c r="B12" s="65"/>
      <c r="C12" s="65"/>
      <c r="D12" s="149"/>
      <c r="E12" s="3"/>
      <c r="F12" s="59"/>
      <c r="G12" s="5"/>
      <c r="H12" s="323" t="s">
        <v>126</v>
      </c>
      <c r="I12" s="153" t="s">
        <v>134</v>
      </c>
      <c r="J12" s="154"/>
      <c r="K12" s="154"/>
      <c r="L12" s="154"/>
      <c r="M12" s="155"/>
      <c r="N12" s="152"/>
      <c r="O12" s="152"/>
      <c r="P12" s="326">
        <v>0</v>
      </c>
      <c r="Q12" s="327"/>
      <c r="R12" s="186">
        <f>P12</f>
        <v>0</v>
      </c>
      <c r="S12" s="184"/>
      <c r="T12" s="187"/>
      <c r="AF12" s="53">
        <f>SUM(AF7:AF11)</f>
        <v>12181</v>
      </c>
    </row>
    <row r="13" spans="1:32" x14ac:dyDescent="0.35">
      <c r="A13" s="2"/>
      <c r="B13" s="65"/>
      <c r="C13" s="65"/>
      <c r="D13" s="149"/>
      <c r="E13" s="3"/>
      <c r="F13" s="59"/>
      <c r="G13" s="5"/>
      <c r="H13" s="324"/>
      <c r="I13" s="156" t="s">
        <v>135</v>
      </c>
      <c r="J13" s="154"/>
      <c r="K13" s="154"/>
      <c r="L13" s="154"/>
      <c r="M13" s="155"/>
      <c r="N13" s="152"/>
      <c r="O13" s="152"/>
      <c r="P13" s="326">
        <v>0</v>
      </c>
      <c r="Q13" s="327"/>
      <c r="R13" s="186">
        <f>P13</f>
        <v>0</v>
      </c>
      <c r="S13" s="184"/>
      <c r="T13" s="187"/>
    </row>
    <row r="14" spans="1:32" x14ac:dyDescent="0.35">
      <c r="A14" s="2"/>
      <c r="B14" s="65"/>
      <c r="C14" s="65"/>
      <c r="D14" s="149"/>
      <c r="E14" s="3"/>
      <c r="F14" s="59"/>
      <c r="G14" s="5"/>
      <c r="H14" s="324"/>
      <c r="I14" s="156" t="s">
        <v>136</v>
      </c>
      <c r="J14" s="154"/>
      <c r="K14" s="154"/>
      <c r="L14" s="154"/>
      <c r="M14" s="155"/>
      <c r="N14" s="304" t="s">
        <v>530</v>
      </c>
      <c r="O14" s="305"/>
      <c r="P14" s="245">
        <v>5.9900000000000002E-2</v>
      </c>
      <c r="Q14" s="246">
        <f>F7*P14</f>
        <v>59900</v>
      </c>
      <c r="R14" s="186">
        <f>Q14</f>
        <v>59900</v>
      </c>
      <c r="S14" s="184"/>
      <c r="T14" s="187"/>
    </row>
    <row r="15" spans="1:32" x14ac:dyDescent="0.35">
      <c r="A15" s="2"/>
      <c r="B15" s="65"/>
      <c r="C15" s="65"/>
      <c r="D15" s="149"/>
      <c r="E15" s="3"/>
      <c r="F15" s="59"/>
      <c r="G15" s="5"/>
      <c r="H15" s="324"/>
      <c r="I15" s="156"/>
      <c r="J15" s="154"/>
      <c r="K15" s="154"/>
      <c r="L15" s="154"/>
      <c r="M15" s="155"/>
      <c r="N15" s="304" t="s">
        <v>138</v>
      </c>
      <c r="O15" s="305"/>
      <c r="P15" s="245">
        <v>0</v>
      </c>
      <c r="Q15" s="246">
        <f>F7*P15</f>
        <v>0</v>
      </c>
      <c r="R15" s="186">
        <f>Q15</f>
        <v>0</v>
      </c>
      <c r="S15" s="184"/>
      <c r="T15" s="187"/>
    </row>
    <row r="16" spans="1:32" x14ac:dyDescent="0.35">
      <c r="A16" s="2"/>
      <c r="B16" s="65"/>
      <c r="C16" s="65"/>
      <c r="D16" s="149"/>
      <c r="E16" s="3"/>
      <c r="F16" s="59"/>
      <c r="G16" s="5"/>
      <c r="H16" s="325"/>
      <c r="I16" s="156" t="s">
        <v>139</v>
      </c>
      <c r="J16" s="154"/>
      <c r="K16" s="154"/>
      <c r="L16" s="154"/>
      <c r="M16" s="155"/>
      <c r="N16" s="152"/>
      <c r="O16" s="152"/>
      <c r="P16" s="326">
        <v>0</v>
      </c>
      <c r="Q16" s="327"/>
      <c r="R16" s="186">
        <f>P16</f>
        <v>0</v>
      </c>
      <c r="S16" s="184"/>
      <c r="T16" s="187"/>
    </row>
    <row r="17" spans="1:21" x14ac:dyDescent="0.35">
      <c r="A17" s="2"/>
      <c r="B17" s="65"/>
      <c r="C17" s="65"/>
      <c r="D17" s="149"/>
      <c r="E17" s="3"/>
      <c r="F17" s="59"/>
      <c r="G17" s="5"/>
      <c r="H17" s="329" t="s">
        <v>140</v>
      </c>
      <c r="I17" s="233"/>
      <c r="J17" s="233"/>
      <c r="K17" s="233"/>
      <c r="L17" s="233"/>
      <c r="M17" s="234"/>
      <c r="N17" s="306" t="s">
        <v>527</v>
      </c>
      <c r="O17" s="307"/>
      <c r="P17" s="328">
        <v>2500</v>
      </c>
      <c r="Q17" s="328"/>
      <c r="R17" s="186">
        <f>P17</f>
        <v>2500</v>
      </c>
      <c r="S17" s="184"/>
      <c r="T17" s="187"/>
    </row>
    <row r="18" spans="1:21" ht="14.5" customHeight="1" x14ac:dyDescent="0.35">
      <c r="A18" s="2"/>
      <c r="B18" s="65"/>
      <c r="C18" s="148"/>
      <c r="D18" s="149"/>
      <c r="E18" s="3"/>
      <c r="F18" s="150"/>
      <c r="G18" s="5"/>
      <c r="H18" s="330"/>
      <c r="I18" s="235"/>
      <c r="J18" s="235"/>
      <c r="K18" s="235"/>
      <c r="L18" s="235"/>
      <c r="M18" s="236"/>
      <c r="N18" s="331" t="s">
        <v>528</v>
      </c>
      <c r="O18" s="332"/>
      <c r="P18" s="328">
        <f>AF12</f>
        <v>12181</v>
      </c>
      <c r="Q18" s="328"/>
      <c r="R18" s="186">
        <f>P18</f>
        <v>12181</v>
      </c>
      <c r="S18" s="184"/>
      <c r="T18" s="187"/>
    </row>
    <row r="19" spans="1:21" ht="17.25" hidden="1" customHeight="1" x14ac:dyDescent="0.35">
      <c r="A19" s="2"/>
      <c r="B19" s="3"/>
      <c r="C19" s="88"/>
      <c r="D19" s="3"/>
      <c r="E19" s="3"/>
      <c r="F19" s="89">
        <f ca="1">EDATE(F3,F8)</f>
        <v>46054</v>
      </c>
      <c r="G19" s="6"/>
      <c r="H19" s="112"/>
      <c r="I19" s="113"/>
      <c r="J19" s="113"/>
      <c r="K19" s="113"/>
      <c r="L19" s="113"/>
      <c r="M19" s="113"/>
      <c r="N19" s="113"/>
      <c r="O19" s="113"/>
      <c r="P19" s="113"/>
      <c r="Q19" s="114"/>
      <c r="R19" s="188"/>
      <c r="S19" s="189"/>
      <c r="T19" s="184"/>
    </row>
    <row r="20" spans="1:21" ht="18.75" hidden="1" customHeight="1" x14ac:dyDescent="0.35">
      <c r="A20" s="2"/>
      <c r="B20" s="3"/>
      <c r="C20" s="88"/>
      <c r="D20" s="3"/>
      <c r="E20" s="90">
        <f>-PMT(F10/12,F8,E34)</f>
        <v>16666.666666666668</v>
      </c>
      <c r="F20" s="90">
        <f ca="1">-PMT(F9/12,F8-3,E34-SUM(F35:F37))</f>
        <v>25421.603679988366</v>
      </c>
      <c r="G20" s="6"/>
      <c r="H20" s="100"/>
      <c r="I20" s="66"/>
      <c r="J20" s="66"/>
      <c r="K20" s="66"/>
      <c r="L20" s="66"/>
      <c r="M20" s="66"/>
      <c r="N20" s="66"/>
      <c r="O20" s="66"/>
      <c r="P20" s="66"/>
      <c r="Q20" s="101"/>
      <c r="R20" s="188"/>
      <c r="S20" s="189"/>
      <c r="T20" s="184"/>
    </row>
    <row r="21" spans="1:21" ht="15.75" hidden="1" customHeight="1" x14ac:dyDescent="0.35">
      <c r="A21" s="2"/>
      <c r="B21" s="3"/>
      <c r="C21" s="88"/>
      <c r="D21" s="3"/>
      <c r="E21" s="3"/>
      <c r="F21" s="91">
        <v>0</v>
      </c>
      <c r="G21" s="8"/>
      <c r="H21" s="102"/>
      <c r="I21" s="67"/>
      <c r="J21" s="67"/>
      <c r="K21" s="67"/>
      <c r="L21" s="67"/>
      <c r="M21" s="67"/>
      <c r="N21" s="67"/>
      <c r="O21" s="67"/>
      <c r="P21" s="67"/>
      <c r="Q21" s="103"/>
      <c r="R21" s="190"/>
      <c r="S21" s="191"/>
      <c r="T21" s="184"/>
    </row>
    <row r="22" spans="1:21" hidden="1" x14ac:dyDescent="0.35">
      <c r="A22" s="2"/>
      <c r="B22" s="3"/>
      <c r="C22" s="88"/>
      <c r="D22" s="3"/>
      <c r="E22" s="3"/>
      <c r="F22" s="90">
        <f ca="1">F20+F21</f>
        <v>25421.603679988366</v>
      </c>
      <c r="G22" s="8"/>
      <c r="H22" s="102"/>
      <c r="I22" s="67"/>
      <c r="J22" s="67"/>
      <c r="K22" s="67"/>
      <c r="L22" s="67"/>
      <c r="M22" s="67"/>
      <c r="N22" s="67"/>
      <c r="O22" s="67"/>
      <c r="P22" s="67"/>
      <c r="Q22" s="103"/>
      <c r="R22" s="190"/>
      <c r="S22" s="191"/>
      <c r="T22" s="184"/>
    </row>
    <row r="23" spans="1:21" hidden="1" x14ac:dyDescent="0.35">
      <c r="A23" s="2"/>
      <c r="B23" s="3"/>
      <c r="C23" s="88"/>
      <c r="D23" s="57"/>
      <c r="E23" s="57"/>
      <c r="F23" s="92"/>
      <c r="G23" s="8"/>
      <c r="H23" s="102"/>
      <c r="I23" s="67"/>
      <c r="J23" s="67"/>
      <c r="K23" s="67"/>
      <c r="L23" s="67"/>
      <c r="M23" s="67"/>
      <c r="N23" s="67"/>
      <c r="O23" s="67"/>
      <c r="P23" s="67"/>
      <c r="Q23" s="103"/>
      <c r="R23" s="190"/>
      <c r="S23" s="191"/>
      <c r="T23" s="184"/>
    </row>
    <row r="24" spans="1:21" hidden="1" x14ac:dyDescent="0.35">
      <c r="A24" s="2"/>
      <c r="B24" s="3"/>
      <c r="C24" s="93" t="s">
        <v>101</v>
      </c>
      <c r="D24" s="55"/>
      <c r="E24" s="55"/>
      <c r="F24" s="94">
        <f ca="1">EDATE(F3,60)</f>
        <v>46054</v>
      </c>
      <c r="G24" s="8"/>
      <c r="H24" s="102"/>
      <c r="I24" s="67"/>
      <c r="J24" s="67"/>
      <c r="K24" s="67"/>
      <c r="L24" s="67"/>
      <c r="M24" s="67"/>
      <c r="N24" s="67"/>
      <c r="O24" s="67"/>
      <c r="P24" s="67"/>
      <c r="Q24" s="103"/>
      <c r="R24" s="190"/>
      <c r="S24" s="191"/>
      <c r="T24" s="184"/>
    </row>
    <row r="25" spans="1:21" hidden="1" x14ac:dyDescent="0.35">
      <c r="A25" s="2"/>
      <c r="B25" s="3"/>
      <c r="C25" s="93" t="s">
        <v>104</v>
      </c>
      <c r="D25" s="55"/>
      <c r="E25" s="55"/>
      <c r="F25" s="95">
        <v>0.1588</v>
      </c>
      <c r="G25" s="8"/>
      <c r="H25" s="102"/>
      <c r="I25" s="67"/>
      <c r="J25" s="67"/>
      <c r="K25" s="67"/>
      <c r="L25" s="67"/>
      <c r="M25" s="67"/>
      <c r="N25" s="67"/>
      <c r="O25" s="67"/>
      <c r="P25" s="67"/>
      <c r="Q25" s="103"/>
      <c r="R25" s="190"/>
      <c r="S25" s="191"/>
      <c r="T25" s="184"/>
    </row>
    <row r="26" spans="1:21" hidden="1" x14ac:dyDescent="0.35">
      <c r="A26" s="2"/>
      <c r="B26" s="2"/>
      <c r="C26" s="93" t="s">
        <v>102</v>
      </c>
      <c r="D26" s="55"/>
      <c r="E26" s="55"/>
      <c r="F26" s="95">
        <v>7.0000000000000007E-2</v>
      </c>
      <c r="G26" s="67"/>
      <c r="H26" s="102"/>
      <c r="I26" s="67"/>
      <c r="J26" s="67"/>
      <c r="K26" s="67"/>
      <c r="L26" s="67"/>
      <c r="M26" s="67"/>
      <c r="N26" s="67"/>
      <c r="O26" s="67"/>
      <c r="P26" s="67"/>
      <c r="Q26" s="103"/>
      <c r="R26" s="190"/>
      <c r="S26" s="191"/>
      <c r="T26" s="184"/>
    </row>
    <row r="27" spans="1:21" hidden="1" x14ac:dyDescent="0.35">
      <c r="A27" s="2"/>
      <c r="B27" s="2"/>
      <c r="C27" s="96" t="s">
        <v>103</v>
      </c>
      <c r="D27" s="3"/>
      <c r="E27" s="3"/>
      <c r="F27" s="97">
        <f>F25+F26</f>
        <v>0.2288</v>
      </c>
      <c r="G27" s="6"/>
      <c r="H27" s="100"/>
      <c r="I27" s="66"/>
      <c r="J27" s="66"/>
      <c r="K27" s="66"/>
      <c r="L27" s="66"/>
      <c r="M27" s="66"/>
      <c r="N27" s="66"/>
      <c r="O27" s="66"/>
      <c r="P27" s="66"/>
      <c r="Q27" s="104"/>
      <c r="R27" s="188"/>
      <c r="S27" s="189"/>
      <c r="T27" s="184"/>
    </row>
    <row r="28" spans="1:21" hidden="1" x14ac:dyDescent="0.35">
      <c r="A28" s="2"/>
      <c r="B28" s="2"/>
      <c r="C28" s="96"/>
      <c r="D28" s="3"/>
      <c r="E28" s="3"/>
      <c r="F28" s="90">
        <f>-PMT(F27/12,F8,F7)</f>
        <v>28121.569180609549</v>
      </c>
      <c r="G28" s="8"/>
      <c r="H28" s="102"/>
      <c r="I28" s="67"/>
      <c r="J28" s="67"/>
      <c r="K28" s="67"/>
      <c r="L28" s="67"/>
      <c r="M28" s="67"/>
      <c r="N28" s="67"/>
      <c r="O28" s="67"/>
      <c r="P28" s="67"/>
      <c r="Q28" s="103"/>
      <c r="R28" s="190"/>
      <c r="S28" s="191"/>
      <c r="T28" s="184"/>
    </row>
    <row r="29" spans="1:21" hidden="1" x14ac:dyDescent="0.35">
      <c r="A29" s="2"/>
      <c r="B29" s="2"/>
      <c r="C29" s="96"/>
      <c r="D29" s="3"/>
      <c r="E29" s="3"/>
      <c r="F29" s="90">
        <f>-F7*0.2%</f>
        <v>-2000</v>
      </c>
      <c r="G29" s="8"/>
      <c r="H29" s="102"/>
      <c r="I29" s="67"/>
      <c r="J29" s="67"/>
      <c r="K29" s="67"/>
      <c r="L29" s="67"/>
      <c r="M29" s="67"/>
      <c r="N29" s="67"/>
      <c r="O29" s="67"/>
      <c r="P29" s="67"/>
      <c r="Q29" s="103"/>
      <c r="R29" s="190"/>
      <c r="S29" s="191"/>
      <c r="T29" s="184"/>
    </row>
    <row r="30" spans="1:21" hidden="1" x14ac:dyDescent="0.35">
      <c r="A30" s="2"/>
      <c r="B30" s="2"/>
      <c r="C30" s="96"/>
      <c r="D30" s="3"/>
      <c r="E30" s="3"/>
      <c r="F30" s="90">
        <f>F28+F29</f>
        <v>26121.569180609549</v>
      </c>
      <c r="G30" s="8"/>
      <c r="H30" s="105"/>
      <c r="I30" s="106"/>
      <c r="J30" s="106"/>
      <c r="K30" s="106"/>
      <c r="L30" s="106"/>
      <c r="M30" s="106"/>
      <c r="N30" s="106"/>
      <c r="O30" s="106"/>
      <c r="P30" s="106"/>
      <c r="Q30" s="107"/>
      <c r="R30" s="190"/>
      <c r="S30" s="191"/>
      <c r="T30" s="184"/>
    </row>
    <row r="31" spans="1:21" x14ac:dyDescent="0.35">
      <c r="A31" s="2"/>
      <c r="B31" s="2"/>
      <c r="C31" s="3"/>
      <c r="D31" s="3"/>
      <c r="E31" s="3"/>
      <c r="F31" s="192"/>
      <c r="G31" s="8"/>
      <c r="H31" s="98"/>
      <c r="I31" s="98"/>
      <c r="J31" s="98"/>
      <c r="K31" s="98"/>
      <c r="L31" s="98"/>
      <c r="M31" s="98"/>
      <c r="N31" s="99"/>
      <c r="O31" s="99"/>
      <c r="P31" s="99"/>
      <c r="Q31" s="99"/>
      <c r="R31" s="190"/>
      <c r="S31" s="191"/>
      <c r="T31" s="184"/>
    </row>
    <row r="32" spans="1:21" ht="60" x14ac:dyDescent="0.35">
      <c r="A32" s="83" t="s">
        <v>63</v>
      </c>
      <c r="B32" s="83" t="s">
        <v>64</v>
      </c>
      <c r="C32" s="84" t="s">
        <v>64</v>
      </c>
      <c r="D32" s="84" t="s">
        <v>65</v>
      </c>
      <c r="E32" s="84" t="s">
        <v>66</v>
      </c>
      <c r="F32" s="84" t="s">
        <v>67</v>
      </c>
      <c r="G32" s="83" t="s">
        <v>68</v>
      </c>
      <c r="H32" s="83" t="s">
        <v>69</v>
      </c>
      <c r="I32" s="315" t="s">
        <v>126</v>
      </c>
      <c r="J32" s="316"/>
      <c r="K32" s="316"/>
      <c r="L32" s="317"/>
      <c r="M32" s="83" t="s">
        <v>70</v>
      </c>
      <c r="N32" s="83" t="s">
        <v>125</v>
      </c>
      <c r="O32" s="84" t="s">
        <v>131</v>
      </c>
      <c r="P32" s="84" t="s">
        <v>112</v>
      </c>
      <c r="Q32" s="85" t="s">
        <v>106</v>
      </c>
      <c r="R32" s="83" t="s">
        <v>107</v>
      </c>
      <c r="S32" s="85" t="s">
        <v>526</v>
      </c>
      <c r="U32" s="76"/>
    </row>
    <row r="33" spans="1:21" ht="24" x14ac:dyDescent="0.35">
      <c r="A33" s="85"/>
      <c r="B33" s="85"/>
      <c r="C33" s="85"/>
      <c r="D33" s="85"/>
      <c r="E33" s="85"/>
      <c r="F33" s="85"/>
      <c r="G33" s="85"/>
      <c r="H33" s="85"/>
      <c r="I33" s="83" t="s">
        <v>127</v>
      </c>
      <c r="J33" s="83" t="s">
        <v>128</v>
      </c>
      <c r="K33" s="83" t="s">
        <v>129</v>
      </c>
      <c r="L33" s="83" t="s">
        <v>130</v>
      </c>
      <c r="M33" s="85"/>
      <c r="N33" s="85"/>
      <c r="O33" s="85"/>
      <c r="P33" s="85"/>
      <c r="Q33" s="85"/>
      <c r="R33" s="85"/>
      <c r="S33" s="85"/>
      <c r="U33" s="151"/>
    </row>
    <row r="34" spans="1:21" ht="12" customHeight="1" x14ac:dyDescent="0.35">
      <c r="A34" s="13"/>
      <c r="B34" s="11">
        <f ca="1">D3</f>
        <v>44228</v>
      </c>
      <c r="C34" s="11">
        <f t="shared" ref="C34:C38" ca="1" si="1">IF(A34&gt;$D$8,"",B34)</f>
        <v>44228</v>
      </c>
      <c r="D34" s="13"/>
      <c r="E34" s="12">
        <f>IF(R8="кредит",D7+#REF!,D7)</f>
        <v>1000000</v>
      </c>
      <c r="F34" s="13"/>
      <c r="G34" s="13"/>
      <c r="H34" s="52">
        <f>-E34+M34+P34+I34+J34+K34+L34+N34+O34</f>
        <v>-927600</v>
      </c>
      <c r="I34" s="182">
        <f>R12</f>
        <v>0</v>
      </c>
      <c r="J34" s="182">
        <f>R13</f>
        <v>0</v>
      </c>
      <c r="K34" s="182">
        <f>R14+R15</f>
        <v>59900</v>
      </c>
      <c r="L34" s="182">
        <f>R16</f>
        <v>0</v>
      </c>
      <c r="M34" s="12">
        <f>P8</f>
        <v>10000</v>
      </c>
      <c r="N34" s="12">
        <f>R11</f>
        <v>0</v>
      </c>
      <c r="O34" s="12">
        <f>R17</f>
        <v>2500</v>
      </c>
      <c r="P34" s="12">
        <f>P9</f>
        <v>0</v>
      </c>
      <c r="Q34" s="14"/>
      <c r="R34" s="15"/>
      <c r="S34" s="237">
        <f>H34</f>
        <v>-927600</v>
      </c>
    </row>
    <row r="35" spans="1:21" x14ac:dyDescent="0.35">
      <c r="A35" s="10">
        <v>1</v>
      </c>
      <c r="B35" s="49">
        <f ca="1">EDATE($B$34,1)</f>
        <v>44256</v>
      </c>
      <c r="C35" s="11">
        <f t="shared" ca="1" si="1"/>
        <v>44256</v>
      </c>
      <c r="D35" s="10">
        <f t="shared" ref="D35:D46" ca="1" si="2">B35-B34</f>
        <v>28</v>
      </c>
      <c r="E35" s="12">
        <f t="shared" ref="E35:E46" ca="1" si="3">E34-F35</f>
        <v>983333.33333333337</v>
      </c>
      <c r="F35" s="16">
        <f ca="1">E20-G35</f>
        <v>16666.666666666668</v>
      </c>
      <c r="G35" s="16">
        <f ca="1">E34*D35*$F$10/IF(OR(YEAR(C35)=2020,YEAR(C35)=2024),366,365)</f>
        <v>0</v>
      </c>
      <c r="H35" s="16">
        <f>$E$20+$F$21</f>
        <v>16666.666666666668</v>
      </c>
      <c r="I35" s="16"/>
      <c r="J35" s="16"/>
      <c r="K35" s="16"/>
      <c r="L35" s="16"/>
      <c r="M35" s="10"/>
      <c r="N35" s="10"/>
      <c r="O35" s="10"/>
      <c r="P35" s="10"/>
      <c r="Q35" s="51" t="str">
        <f>IF(A34=$D$8,XIRR(S$34:S34,C$34:C34),"")</f>
        <v/>
      </c>
      <c r="R35" s="10"/>
      <c r="S35" s="115">
        <f>SUM(H35:R35)</f>
        <v>16666.666666666668</v>
      </c>
    </row>
    <row r="36" spans="1:21" x14ac:dyDescent="0.35">
      <c r="A36" s="10">
        <f>IF(A35&lt;$D$8,A35+1,"")</f>
        <v>2</v>
      </c>
      <c r="B36" s="49">
        <f ca="1">EDATE($B$34,2)</f>
        <v>44287</v>
      </c>
      <c r="C36" s="11">
        <f t="shared" ca="1" si="1"/>
        <v>44287</v>
      </c>
      <c r="D36" s="10">
        <f t="shared" ca="1" si="2"/>
        <v>31</v>
      </c>
      <c r="E36" s="12">
        <f t="shared" ca="1" si="3"/>
        <v>966666.66666666674</v>
      </c>
      <c r="F36" s="12">
        <f ca="1">IF(AND(A35="",A37=""),"",IF(A36="",SUM($F$35:F35),IF(A36=$D$8,$E$34-SUM($F$35:F35),$E$20-G36)))</f>
        <v>16666.666666666668</v>
      </c>
      <c r="G36" s="12">
        <f ca="1">IF(A35=$D$8,SUM($G$35:G35),IF(A35&gt;$D$8,"",E35*D36*$F$10/IF(OR(YEAR(C36)=2020,YEAR(C36)=2024),366,365)))</f>
        <v>0</v>
      </c>
      <c r="H36" s="12">
        <f ca="1">IF(A35=$D$8,SUM($H$35:H35),IF(A35="","",(G36+F36)))</f>
        <v>16666.666666666668</v>
      </c>
      <c r="I36" s="12"/>
      <c r="J36" s="12"/>
      <c r="K36" s="12"/>
      <c r="L36" s="12"/>
      <c r="M36" s="10"/>
      <c r="N36" s="10"/>
      <c r="O36" s="10"/>
      <c r="P36" s="10"/>
      <c r="Q36" s="51" t="str">
        <f>IF(A35=$D$8,XIRR(S$34:S35,C$34:C35),"")</f>
        <v/>
      </c>
      <c r="R36" s="10"/>
      <c r="S36" s="115">
        <f t="shared" ref="S36:S94" ca="1" si="4">SUM(H36:R36)</f>
        <v>16666.666666666668</v>
      </c>
    </row>
    <row r="37" spans="1:21" x14ac:dyDescent="0.35">
      <c r="A37" s="10">
        <f t="shared" ref="A37:A100" si="5">IF(A36&lt;$D$8,A36+1,"")</f>
        <v>3</v>
      </c>
      <c r="B37" s="49">
        <f ca="1">EDATE($B$34,3)</f>
        <v>44317</v>
      </c>
      <c r="C37" s="11">
        <f t="shared" ca="1" si="1"/>
        <v>44317</v>
      </c>
      <c r="D37" s="10">
        <f t="shared" ca="1" si="2"/>
        <v>30</v>
      </c>
      <c r="E37" s="12">
        <f t="shared" ca="1" si="3"/>
        <v>950000.00000000012</v>
      </c>
      <c r="F37" s="12">
        <f ca="1">IF(AND(A36="",A38=""),"",IF(A37="",SUM($F$35:F36),IF(A37=$D$8,$E$34-SUM($F$35:F36),$E$20-G37)))</f>
        <v>16666.666666666668</v>
      </c>
      <c r="G37" s="12">
        <f ca="1">IF(A36=$D$8,SUM($G$35:G36),IF(A36&gt;$D$8,"",E36*D37*$F$10/IF(OR(YEAR(C37)=2020,YEAR(C37)=2024),366,365)))</f>
        <v>0</v>
      </c>
      <c r="H37" s="12">
        <f ca="1">IF(A36=$D$8,SUM($H$35:H36),IF(A36="","",(G37+F37)))</f>
        <v>16666.666666666668</v>
      </c>
      <c r="I37" s="12"/>
      <c r="J37" s="12"/>
      <c r="K37" s="12"/>
      <c r="L37" s="12"/>
      <c r="M37" s="10"/>
      <c r="N37" s="10"/>
      <c r="O37" s="10"/>
      <c r="P37" s="10"/>
      <c r="Q37" s="51" t="str">
        <f>IF(A36=$D$8,XIRR(S$34:S36,C$34:C36),"")</f>
        <v/>
      </c>
      <c r="R37" s="12" t="str">
        <f>IF(A36=$D$8,G37+M37+F37+I37+J37+K37+L37+N37+O37,"")</f>
        <v/>
      </c>
      <c r="S37" s="115">
        <f t="shared" ca="1" si="4"/>
        <v>16666.666666666668</v>
      </c>
    </row>
    <row r="38" spans="1:21" x14ac:dyDescent="0.35">
      <c r="A38" s="10">
        <f t="shared" si="5"/>
        <v>4</v>
      </c>
      <c r="B38" s="49">
        <f ca="1">EDATE($B$34,4)</f>
        <v>44348</v>
      </c>
      <c r="C38" s="11">
        <f t="shared" ca="1" si="1"/>
        <v>44348</v>
      </c>
      <c r="D38" s="10">
        <f t="shared" ca="1" si="2"/>
        <v>31</v>
      </c>
      <c r="E38" s="12">
        <f t="shared" ca="1" si="3"/>
        <v>939900.46481316246</v>
      </c>
      <c r="F38" s="12">
        <f ca="1">IF(AND(A37="",A39=""),"",IF(A38="",SUM($F$35:F37),IF(A38=$D$8,$E$34-SUM($F$35:F37),$F$22-G38)))</f>
        <v>10099.535186837678</v>
      </c>
      <c r="G38" s="12">
        <f ca="1">IF(A37=$D$8,SUM($G$35:G37),IF(A37&gt;$D$8,"",E37*D38*$D$9/IF(OR(YEAR(C38)=2020,YEAR(C38)=2024),366,365)))</f>
        <v>15322.068493150688</v>
      </c>
      <c r="H38" s="12">
        <f ca="1">IF(A37=$D$8,SUM($H$35:H37),IF(A37="","",(G38+F38)))</f>
        <v>25421.603679988366</v>
      </c>
      <c r="I38" s="12"/>
      <c r="J38" s="12"/>
      <c r="K38" s="12"/>
      <c r="L38" s="12"/>
      <c r="M38" s="10"/>
      <c r="N38" s="10"/>
      <c r="O38" s="10"/>
      <c r="P38" s="10"/>
      <c r="Q38" s="51" t="str">
        <f>IF(A37=$D$8,XIRR(S$34:S37,C$34:C37),"")</f>
        <v/>
      </c>
      <c r="R38" s="12" t="str">
        <f t="shared" ref="R38:R95" si="6">IF(A37=$D$8,G38+M38+F38+I38+J38+K38+L38+N38+O38,"")</f>
        <v/>
      </c>
      <c r="S38" s="115">
        <f t="shared" ca="1" si="4"/>
        <v>25421.603679988366</v>
      </c>
    </row>
    <row r="39" spans="1:21" x14ac:dyDescent="0.35">
      <c r="A39" s="10">
        <f t="shared" si="5"/>
        <v>5</v>
      </c>
      <c r="B39" s="49">
        <f ca="1">EDATE($B$34,5)</f>
        <v>44378</v>
      </c>
      <c r="C39" s="11">
        <f t="shared" ref="C39:C57" ca="1" si="7">IF(B39&gt;$F$19,"",IF(B39=$F$19,B39-1,B39))</f>
        <v>44378</v>
      </c>
      <c r="D39" s="10">
        <f t="shared" ca="1" si="2"/>
        <v>30</v>
      </c>
      <c r="E39" s="12">
        <f t="shared" ca="1" si="3"/>
        <v>929149.03359355929</v>
      </c>
      <c r="F39" s="12">
        <f ca="1">IF(AND(A38="",A40=""),"",IF(A39="",SUM($F$35:F38),IF(A39=$D$8,$E$34-SUM($F$35:F38),$F$22-G39)))</f>
        <v>10751.431219603197</v>
      </c>
      <c r="G39" s="12">
        <f ca="1">IF(A38=$D$8,SUM($G$35:G38),IF(A38&gt;$D$8,"",E38*D39*$D$9/IF(OR(YEAR(C39)=2020,YEAR(C39)=2024),366,365)))</f>
        <v>14670.172460385169</v>
      </c>
      <c r="H39" s="12">
        <f ca="1">IF(A38=$D$8,SUM($H$35:H38),IF(A38="","",(G39+F39)))</f>
        <v>25421.603679988366</v>
      </c>
      <c r="I39" s="12" t="str">
        <f>IF(A39="",$I$34,"")</f>
        <v/>
      </c>
      <c r="J39" s="12" t="str">
        <f>IF(A39="",$J$34,"")</f>
        <v/>
      </c>
      <c r="K39" s="12" t="str">
        <f>IF(A39="",$K$34,"")</f>
        <v/>
      </c>
      <c r="L39" s="12" t="str">
        <f>IF(A39="",$L$34,"")</f>
        <v/>
      </c>
      <c r="M39" s="12" t="str">
        <f t="shared" ref="M39:M47" si="8">IF(A39="",$M$34,"")</f>
        <v/>
      </c>
      <c r="N39" s="12" t="str">
        <f>IF(A39="",$N$34,"")</f>
        <v/>
      </c>
      <c r="O39" s="12" t="str">
        <f>IF(A39="",$O$34,"")</f>
        <v/>
      </c>
      <c r="P39" s="12"/>
      <c r="Q39" s="51" t="str">
        <f>IF(A38=$D$8,XIRR(S$34:S38,C$34:C38),"")</f>
        <v/>
      </c>
      <c r="R39" s="12" t="str">
        <f t="shared" si="6"/>
        <v/>
      </c>
      <c r="S39" s="115">
        <f t="shared" ca="1" si="4"/>
        <v>25421.603679988366</v>
      </c>
    </row>
    <row r="40" spans="1:21" x14ac:dyDescent="0.35">
      <c r="A40" s="10">
        <f t="shared" si="5"/>
        <v>6</v>
      </c>
      <c r="B40" s="49">
        <f ca="1">EDATE($B$34,6)</f>
        <v>44409</v>
      </c>
      <c r="C40" s="11">
        <f t="shared" ca="1" si="7"/>
        <v>44409</v>
      </c>
      <c r="D40" s="10">
        <f t="shared" ca="1" si="2"/>
        <v>31</v>
      </c>
      <c r="E40" s="12">
        <f t="shared" ca="1" si="3"/>
        <v>918713.20373785018</v>
      </c>
      <c r="F40" s="12">
        <f ca="1">IF(AND(A39="",A41=""),"",IF(A40="",SUM($F$35:F39),IF(A40=$D$8,$E$34-SUM($F$35:F39),$F$22-G40)))</f>
        <v>10435.82985570912</v>
      </c>
      <c r="G40" s="12">
        <f ca="1">IF(A39=$D$8,SUM($G$35:G39),IF(A39&gt;$D$8,"",E39*D40*$D$9/IF(OR(YEAR(C40)=2020,YEAR(C40)=2024),366,365)))</f>
        <v>14985.773824279246</v>
      </c>
      <c r="H40" s="12">
        <f ca="1">IF(A39=$D$8,SUM($H$35:H39),IF(A39="","",(G40+F40)))</f>
        <v>25421.603679988366</v>
      </c>
      <c r="I40" s="12" t="str">
        <f t="shared" ref="I40:I45" si="9">IF(A40="",$I$34,"")</f>
        <v/>
      </c>
      <c r="J40" s="12" t="str">
        <f t="shared" ref="J40:J45" si="10">IF(A40="",$J$34,"")</f>
        <v/>
      </c>
      <c r="K40" s="12" t="str">
        <f t="shared" ref="K40:K45" si="11">IF(A40="",$K$34,"")</f>
        <v/>
      </c>
      <c r="L40" s="12" t="str">
        <f t="shared" ref="L40:L45" si="12">IF(A40="",$L$34,"")</f>
        <v/>
      </c>
      <c r="M40" s="12" t="str">
        <f t="shared" si="8"/>
        <v/>
      </c>
      <c r="N40" s="12" t="str">
        <f t="shared" ref="N40:N47" si="13">IF(A40="",$N$34,"")</f>
        <v/>
      </c>
      <c r="O40" s="12" t="str">
        <f t="shared" ref="O40:O46" si="14">IF(A40="",$O$34,"")</f>
        <v/>
      </c>
      <c r="P40" s="12"/>
      <c r="Q40" s="51" t="str">
        <f>IF(A39=$D$8,XIRR(S$34:S39,C$34:C39),"")</f>
        <v/>
      </c>
      <c r="R40" s="12" t="str">
        <f t="shared" si="6"/>
        <v/>
      </c>
      <c r="S40" s="115">
        <f t="shared" ca="1" si="4"/>
        <v>25421.603679988366</v>
      </c>
    </row>
    <row r="41" spans="1:21" x14ac:dyDescent="0.35">
      <c r="A41" s="10">
        <f t="shared" si="5"/>
        <v>7</v>
      </c>
      <c r="B41" s="49">
        <f ca="1">EDATE($B$34,7)</f>
        <v>44440</v>
      </c>
      <c r="C41" s="11">
        <f t="shared" ca="1" si="7"/>
        <v>44440</v>
      </c>
      <c r="D41" s="10">
        <f t="shared" ca="1" si="2"/>
        <v>31</v>
      </c>
      <c r="E41" s="12">
        <f t="shared" ca="1" si="3"/>
        <v>908109.0596717915</v>
      </c>
      <c r="F41" s="12">
        <f ca="1">IF(AND(A40="",A42=""),"",IF(A41="",SUM($F$35:F40),IF(A41=$D$8,$E$34-SUM($F$35:F40),$F$22-G41)))</f>
        <v>10604.14406605864</v>
      </c>
      <c r="G41" s="12">
        <f ca="1">IF(A40=$D$8,SUM($G$35:G40),IF(A40&gt;$D$8,"",E40*D41*$D$9/IF(OR(YEAR(C41)=2020,YEAR(C41)=2024),366,365)))</f>
        <v>14817.459613929726</v>
      </c>
      <c r="H41" s="12">
        <f ca="1">IF(A40=$D$8,SUM($H$35:H40),IF(A40="","",(G41+F41)))</f>
        <v>25421.603679988366</v>
      </c>
      <c r="I41" s="12" t="str">
        <f t="shared" si="9"/>
        <v/>
      </c>
      <c r="J41" s="12" t="str">
        <f t="shared" si="10"/>
        <v/>
      </c>
      <c r="K41" s="12" t="str">
        <f t="shared" si="11"/>
        <v/>
      </c>
      <c r="L41" s="12" t="str">
        <f t="shared" si="12"/>
        <v/>
      </c>
      <c r="M41" s="12" t="str">
        <f t="shared" si="8"/>
        <v/>
      </c>
      <c r="N41" s="12" t="str">
        <f t="shared" si="13"/>
        <v/>
      </c>
      <c r="O41" s="12" t="str">
        <f t="shared" si="14"/>
        <v/>
      </c>
      <c r="P41" s="12"/>
      <c r="Q41" s="51" t="str">
        <f>IF(A40=$D$8,XIRR(S$34:S40,C$34:C40),"")</f>
        <v/>
      </c>
      <c r="R41" s="12" t="str">
        <f t="shared" si="6"/>
        <v/>
      </c>
      <c r="S41" s="115">
        <f t="shared" ca="1" si="4"/>
        <v>25421.603679988366</v>
      </c>
    </row>
    <row r="42" spans="1:21" x14ac:dyDescent="0.35">
      <c r="A42" s="10">
        <f t="shared" si="5"/>
        <v>8</v>
      </c>
      <c r="B42" s="49">
        <f ca="1">EDATE($B$34,8)</f>
        <v>44470</v>
      </c>
      <c r="C42" s="11">
        <f t="shared" ca="1" si="7"/>
        <v>44470</v>
      </c>
      <c r="D42" s="10">
        <f t="shared" ca="1" si="2"/>
        <v>30</v>
      </c>
      <c r="E42" s="12">
        <f t="shared" ca="1" si="3"/>
        <v>896861.42123276263</v>
      </c>
      <c r="F42" s="12">
        <f ca="1">IF(AND(A41="",A43=""),"",IF(A42="",SUM($F$35:F41),IF(A42=$D$8,$E$34-SUM($F$35:F41),$F$22-G42)))</f>
        <v>11247.638439028922</v>
      </c>
      <c r="G42" s="12">
        <f ca="1">IF(A41=$D$8,SUM($G$35:G41),IF(A41&gt;$D$8,"",E41*D42*$D$9/IF(OR(YEAR(C42)=2020,YEAR(C42)=2024),366,365)))</f>
        <v>14173.965240959444</v>
      </c>
      <c r="H42" s="12">
        <f ca="1">IF(A41=$D$8,SUM($H$35:H41),IF(A41="","",(G42+F42)))</f>
        <v>25421.603679988366</v>
      </c>
      <c r="I42" s="12" t="str">
        <f t="shared" si="9"/>
        <v/>
      </c>
      <c r="J42" s="12" t="str">
        <f t="shared" si="10"/>
        <v/>
      </c>
      <c r="K42" s="12" t="str">
        <f t="shared" si="11"/>
        <v/>
      </c>
      <c r="L42" s="12" t="str">
        <f t="shared" si="12"/>
        <v/>
      </c>
      <c r="M42" s="12" t="str">
        <f t="shared" si="8"/>
        <v/>
      </c>
      <c r="N42" s="12" t="str">
        <f t="shared" si="13"/>
        <v/>
      </c>
      <c r="O42" s="12" t="str">
        <f t="shared" si="14"/>
        <v/>
      </c>
      <c r="P42" s="12"/>
      <c r="Q42" s="51" t="str">
        <f>IF(A41=$D$8,XIRR(S$34:S41,C$34:C41),"")</f>
        <v/>
      </c>
      <c r="R42" s="12" t="str">
        <f t="shared" si="6"/>
        <v/>
      </c>
      <c r="S42" s="115">
        <f t="shared" ca="1" si="4"/>
        <v>25421.603679988366</v>
      </c>
    </row>
    <row r="43" spans="1:21" x14ac:dyDescent="0.35">
      <c r="A43" s="10">
        <f t="shared" si="5"/>
        <v>9</v>
      </c>
      <c r="B43" s="49">
        <f ca="1">EDATE($B$34,9)</f>
        <v>44501</v>
      </c>
      <c r="C43" s="11">
        <f t="shared" ca="1" si="7"/>
        <v>44501</v>
      </c>
      <c r="D43" s="10">
        <f t="shared" ca="1" si="2"/>
        <v>31</v>
      </c>
      <c r="E43" s="12">
        <f t="shared" ca="1" si="3"/>
        <v>885904.84084224037</v>
      </c>
      <c r="F43" s="12">
        <f ca="1">IF(AND(A42="",A44=""),"",IF(A43="",SUM($F$35:F42),IF(A43=$D$8,$E$34-SUM($F$35:F42),$F$22-G43)))</f>
        <v>10956.580390522202</v>
      </c>
      <c r="G43" s="12">
        <f ca="1">IF(A42=$D$8,SUM($G$35:G42),IF(A42&gt;$D$8,"",E42*D43*$D$9/IF(OR(YEAR(C43)=2020,YEAR(C43)=2024),366,365)))</f>
        <v>14465.023289466164</v>
      </c>
      <c r="H43" s="12">
        <f ca="1">IF(A42=$D$8,SUM($H$35:H42),IF(A42="","",(G43+F43)))</f>
        <v>25421.603679988366</v>
      </c>
      <c r="I43" s="12" t="str">
        <f t="shared" si="9"/>
        <v/>
      </c>
      <c r="J43" s="12" t="str">
        <f t="shared" si="10"/>
        <v/>
      </c>
      <c r="K43" s="12" t="str">
        <f t="shared" si="11"/>
        <v/>
      </c>
      <c r="L43" s="12" t="str">
        <f t="shared" si="12"/>
        <v/>
      </c>
      <c r="M43" s="12" t="str">
        <f t="shared" si="8"/>
        <v/>
      </c>
      <c r="N43" s="12" t="str">
        <f t="shared" si="13"/>
        <v/>
      </c>
      <c r="O43" s="12" t="str">
        <f t="shared" si="14"/>
        <v/>
      </c>
      <c r="P43" s="12"/>
      <c r="Q43" s="51" t="str">
        <f>IF(A42=$D$8,XIRR(S$34:S42,C$34:C42),"")</f>
        <v/>
      </c>
      <c r="R43" s="12" t="str">
        <f t="shared" si="6"/>
        <v/>
      </c>
      <c r="S43" s="115">
        <f t="shared" ca="1" si="4"/>
        <v>25421.603679988366</v>
      </c>
    </row>
    <row r="44" spans="1:21" x14ac:dyDescent="0.35">
      <c r="A44" s="10">
        <f t="shared" si="5"/>
        <v>10</v>
      </c>
      <c r="B44" s="49">
        <f ca="1">EDATE($B$34,10)</f>
        <v>44531</v>
      </c>
      <c r="C44" s="11">
        <f t="shared" ca="1" si="7"/>
        <v>44531</v>
      </c>
      <c r="D44" s="10">
        <f t="shared" ca="1" si="2"/>
        <v>30</v>
      </c>
      <c r="E44" s="12">
        <f t="shared" ca="1" si="3"/>
        <v>874310.63408904173</v>
      </c>
      <c r="F44" s="12">
        <f ca="1">IF(AND(A43="",A45=""),"",IF(A44="",SUM($F$35:F43),IF(A44=$D$8,$E$34-SUM($F$35:F43),$F$22-G44)))</f>
        <v>11594.206753198656</v>
      </c>
      <c r="G44" s="12">
        <f ca="1">IF(A43=$D$8,SUM($G$35:G43),IF(A43&gt;$D$8,"",E43*D44*$D$9/IF(OR(YEAR(C44)=2020,YEAR(C44)=2024),366,365)))</f>
        <v>13827.39692678971</v>
      </c>
      <c r="H44" s="12">
        <f ca="1">IF(A43=$D$8,SUM($H$35:H43),IF(A43="","",(G44+F44)))</f>
        <v>25421.603679988366</v>
      </c>
      <c r="I44" s="12" t="str">
        <f t="shared" si="9"/>
        <v/>
      </c>
      <c r="J44" s="12" t="str">
        <f t="shared" si="10"/>
        <v/>
      </c>
      <c r="K44" s="12" t="str">
        <f t="shared" si="11"/>
        <v/>
      </c>
      <c r="L44" s="12" t="str">
        <f t="shared" si="12"/>
        <v/>
      </c>
      <c r="M44" s="12" t="str">
        <f t="shared" si="8"/>
        <v/>
      </c>
      <c r="N44" s="12" t="str">
        <f t="shared" si="13"/>
        <v/>
      </c>
      <c r="O44" s="12" t="str">
        <f t="shared" si="14"/>
        <v/>
      </c>
      <c r="P44" s="12"/>
      <c r="Q44" s="51" t="str">
        <f>IF(A43=$D$8,XIRR(S$34:S43,C$34:C43),"")</f>
        <v/>
      </c>
      <c r="R44" s="12" t="str">
        <f t="shared" si="6"/>
        <v/>
      </c>
      <c r="S44" s="115">
        <f t="shared" ca="1" si="4"/>
        <v>25421.603679988366</v>
      </c>
    </row>
    <row r="45" spans="1:21" x14ac:dyDescent="0.35">
      <c r="A45" s="10">
        <f t="shared" si="5"/>
        <v>11</v>
      </c>
      <c r="B45" s="49">
        <f ca="1">EDATE($B$34,11)</f>
        <v>44562</v>
      </c>
      <c r="C45" s="11">
        <f t="shared" ca="1" si="7"/>
        <v>44562</v>
      </c>
      <c r="D45" s="10">
        <f t="shared" ca="1" si="2"/>
        <v>31</v>
      </c>
      <c r="E45" s="12">
        <f t="shared" ca="1" si="3"/>
        <v>862990.34348252951</v>
      </c>
      <c r="F45" s="12">
        <f ca="1">IF(AND(A44="",A46=""),"",IF(A45="",SUM($F$35:F44),IF(A45=$D$8,$E$34-SUM($F$35:F44),$F$22-G45)))</f>
        <v>11320.290606512255</v>
      </c>
      <c r="G45" s="12">
        <f ca="1">IF(A44=$D$8,SUM($G$35:G44),IF(A44&gt;$D$8,"",E44*D45*$D$9/IF(OR(YEAR(C45)=2020,YEAR(C45)=2024),366,365)))</f>
        <v>14101.313073476111</v>
      </c>
      <c r="H45" s="12">
        <f ca="1">IF(A44=$D$8,SUM($H$35:H44),IF(A44="","",(G45+F45)))</f>
        <v>25421.603679988366</v>
      </c>
      <c r="I45" s="12" t="str">
        <f t="shared" si="9"/>
        <v/>
      </c>
      <c r="J45" s="12" t="str">
        <f t="shared" si="10"/>
        <v/>
      </c>
      <c r="K45" s="12" t="str">
        <f t="shared" si="11"/>
        <v/>
      </c>
      <c r="L45" s="12" t="str">
        <f t="shared" si="12"/>
        <v/>
      </c>
      <c r="M45" s="12" t="str">
        <f t="shared" si="8"/>
        <v/>
      </c>
      <c r="N45" s="12" t="str">
        <f t="shared" si="13"/>
        <v/>
      </c>
      <c r="O45" s="12" t="str">
        <f t="shared" si="14"/>
        <v/>
      </c>
      <c r="P45" s="12"/>
      <c r="Q45" s="51" t="str">
        <f>IF(A44=$D$8,XIRR(S$34:S44,C$34:C44),"")</f>
        <v/>
      </c>
      <c r="R45" s="12" t="str">
        <f t="shared" si="6"/>
        <v/>
      </c>
      <c r="S45" s="115">
        <f t="shared" ca="1" si="4"/>
        <v>25421.603679988366</v>
      </c>
    </row>
    <row r="46" spans="1:21" x14ac:dyDescent="0.35">
      <c r="A46" s="10">
        <f t="shared" si="5"/>
        <v>12</v>
      </c>
      <c r="B46" s="49">
        <f ca="1">EDATE($B$34,12)</f>
        <v>44593</v>
      </c>
      <c r="C46" s="11">
        <f t="shared" ca="1" si="7"/>
        <v>44593</v>
      </c>
      <c r="D46" s="10">
        <f t="shared" ca="1" si="2"/>
        <v>31</v>
      </c>
      <c r="E46" s="12">
        <f t="shared" ca="1" si="3"/>
        <v>851487.47364650632</v>
      </c>
      <c r="F46" s="12">
        <f ca="1">IF(AND(A45="",A47=""),"",IF(A46="",SUM($F$35:F45),IF(A46=$D$8,$E$34-SUM($F$35:F45),$F$22-G46)))</f>
        <v>11502.86983602315</v>
      </c>
      <c r="G46" s="12">
        <f ca="1">IF(A45=$D$8,SUM($G$35:G45),IF(A45&gt;$D$8,"",E45*D46*$D$9/IF(OR(YEAR(C46)=2020,YEAR(C46)=2024),366,365)))</f>
        <v>13918.733843965216</v>
      </c>
      <c r="H46" s="12">
        <f ca="1">IF(A45=$D$8,SUM($H$35:H45),IF(A45="","",(G46+F46)))</f>
        <v>25421.603679988366</v>
      </c>
      <c r="I46" s="12" t="str">
        <f t="shared" ref="I46:I47" si="15">IF(A46="",$I$34,"")</f>
        <v/>
      </c>
      <c r="J46" s="12" t="str">
        <f t="shared" ref="J46:J47" si="16">IF(A46="",$J$34,"")</f>
        <v/>
      </c>
      <c r="K46" s="12" t="str">
        <f t="shared" ref="K46:K47" si="17">IF(A46="",$K$34,"")</f>
        <v/>
      </c>
      <c r="L46" s="12" t="str">
        <f t="shared" ref="L46:L47" si="18">IF(A46="",$L$34,"")</f>
        <v/>
      </c>
      <c r="M46" s="12" t="str">
        <f t="shared" si="8"/>
        <v/>
      </c>
      <c r="N46" s="12" t="str">
        <f t="shared" si="13"/>
        <v/>
      </c>
      <c r="O46" s="12" t="str">
        <f t="shared" si="14"/>
        <v/>
      </c>
      <c r="P46" s="12"/>
      <c r="Q46" s="51" t="str">
        <f>IF(A45=$D$8,XIRR(S$34:S45,C$34:C45),"")</f>
        <v/>
      </c>
      <c r="R46" s="12" t="str">
        <f t="shared" si="6"/>
        <v/>
      </c>
      <c r="S46" s="115">
        <f t="shared" ca="1" si="4"/>
        <v>25421.603679988366</v>
      </c>
    </row>
    <row r="47" spans="1:21" x14ac:dyDescent="0.35">
      <c r="A47" s="10">
        <f t="shared" si="5"/>
        <v>13</v>
      </c>
      <c r="B47" s="49">
        <f ca="1">EDATE($B$34,13)</f>
        <v>44621</v>
      </c>
      <c r="C47" s="11">
        <f t="shared" ca="1" si="7"/>
        <v>44621</v>
      </c>
      <c r="D47" s="10">
        <f ca="1">IF(A47&gt;$D$8,"",C47-C46)</f>
        <v>28</v>
      </c>
      <c r="E47" s="12">
        <f t="shared" ref="E47:E78" ca="1" si="19">IF(A47&gt;$D$8,"",E46-F47)</f>
        <v>838470.05954151298</v>
      </c>
      <c r="F47" s="12">
        <f ca="1">IF(AND(A46="",A48=""),"",IF(A47="",SUM($F$35:F46),IF(A47=$D$8,$E$34-SUM($F$35:F46),$F$22-G47)))</f>
        <v>13017.414104993288</v>
      </c>
      <c r="G47" s="12">
        <f ca="1">IF(A46=$D$8,SUM($G$35:G46),IF(A46&gt;$D$8,"",E46*D47*$D$9/IF(OR(YEAR(C47)=2020,YEAR(C47)=2024),366,365)))</f>
        <v>12404.189574995078</v>
      </c>
      <c r="H47" s="12">
        <f ca="1">IF(A46=$D$8,SUM($H$35:H46),IF(A46="","",(G47+F47)))</f>
        <v>25421.603679988366</v>
      </c>
      <c r="I47" s="12" t="str">
        <f t="shared" si="15"/>
        <v/>
      </c>
      <c r="J47" s="12" t="str">
        <f t="shared" si="16"/>
        <v/>
      </c>
      <c r="K47" s="12" t="str">
        <f t="shared" si="17"/>
        <v/>
      </c>
      <c r="L47" s="12" t="str">
        <f t="shared" si="18"/>
        <v/>
      </c>
      <c r="M47" s="12" t="str">
        <f t="shared" si="8"/>
        <v/>
      </c>
      <c r="N47" s="12" t="str">
        <f t="shared" si="13"/>
        <v/>
      </c>
      <c r="O47" s="12">
        <f>IF($F$8&gt;12,($P$17),IF($A$46=$F$8,O34,""))</f>
        <v>2500</v>
      </c>
      <c r="P47" s="12"/>
      <c r="Q47" s="51" t="str">
        <f>IF(A46=$D$8,XIRR(S$34:S46,C$34:C46),"")</f>
        <v/>
      </c>
      <c r="R47" s="12" t="str">
        <f t="shared" si="6"/>
        <v/>
      </c>
      <c r="S47" s="115">
        <f t="shared" ca="1" si="4"/>
        <v>27921.603679988366</v>
      </c>
    </row>
    <row r="48" spans="1:21" x14ac:dyDescent="0.35">
      <c r="A48" s="10">
        <f t="shared" si="5"/>
        <v>14</v>
      </c>
      <c r="B48" s="49">
        <f ca="1">EDATE($B$34,14)</f>
        <v>44652</v>
      </c>
      <c r="C48" s="11">
        <f t="shared" ca="1" si="7"/>
        <v>44652</v>
      </c>
      <c r="D48" s="10">
        <f t="shared" ref="D48:D111" ca="1" si="20">IF(A48&gt;$D$8,"",C48-C47)</f>
        <v>31</v>
      </c>
      <c r="E48" s="12">
        <f t="shared" ca="1" si="19"/>
        <v>826571.71447389433</v>
      </c>
      <c r="F48" s="12">
        <f ca="1">IF(AND(A47="",A49=""),"",IF(A48="",SUM($F$35:F47),IF(A48=$D$8,$E$34-SUM($F$35:F47),$F$22-G48)))</f>
        <v>11898.345067618686</v>
      </c>
      <c r="G48" s="12">
        <f ca="1">IF(A47=$D$8,SUM($G$35:G47),IF(A47&gt;$D$8,"",E47*D48*$D$9/IF(OR(YEAR(C48)=2020,YEAR(C48)=2024),366,365)))</f>
        <v>13523.25861236968</v>
      </c>
      <c r="H48" s="12">
        <f ca="1">IF(A47=$D$8,SUM($H$35:H47),IF(A47="","",(G48+F48)))</f>
        <v>25421.603679988366</v>
      </c>
      <c r="I48" s="12" t="str">
        <f>IF(A47=$F$8,$I$34,"")</f>
        <v/>
      </c>
      <c r="J48" s="12" t="str">
        <f>IF(A47=$F$8,$J$34,"")</f>
        <v/>
      </c>
      <c r="K48" s="12" t="str">
        <f>IF(A47=$F$8,$K$34,"")</f>
        <v/>
      </c>
      <c r="L48" s="12" t="str">
        <f>IF(A47=$F$8,$L$34,"")</f>
        <v/>
      </c>
      <c r="M48" s="12" t="str">
        <f t="shared" ref="M48:M79" si="21">IF(A47=$F$8,$M$34,"")</f>
        <v/>
      </c>
      <c r="N48" s="12" t="str">
        <f>IF(A47=$F$8,$N$34,"")</f>
        <v/>
      </c>
      <c r="O48" s="12" t="str">
        <f>IF(A47=$F$8,$O$34,"")</f>
        <v/>
      </c>
      <c r="P48" s="12"/>
      <c r="Q48" s="51" t="str">
        <f>IF(A47=$D$8,XIRR(S$34:S47,C$34:C47),"")</f>
        <v/>
      </c>
      <c r="R48" s="12" t="str">
        <f t="shared" si="6"/>
        <v/>
      </c>
      <c r="S48" s="115">
        <f t="shared" ca="1" si="4"/>
        <v>25421.603679988366</v>
      </c>
    </row>
    <row r="49" spans="1:19" x14ac:dyDescent="0.35">
      <c r="A49" s="10">
        <f t="shared" si="5"/>
        <v>15</v>
      </c>
      <c r="B49" s="49">
        <f ca="1">EDATE($B$34,15)</f>
        <v>44682</v>
      </c>
      <c r="C49" s="11">
        <f t="shared" ca="1" si="7"/>
        <v>44682</v>
      </c>
      <c r="D49" s="10">
        <f t="shared" ca="1" si="20"/>
        <v>30</v>
      </c>
      <c r="E49" s="12">
        <f t="shared" ca="1" si="19"/>
        <v>814051.42327981768</v>
      </c>
      <c r="F49" s="12">
        <f ca="1">IF(AND(A48="",A50=""),"",IF(A49="",SUM($F$35:F48),IF(A49=$D$8,$E$34-SUM($F$35:F48),$F$22-G49)))</f>
        <v>12520.291194076648</v>
      </c>
      <c r="G49" s="12">
        <f ca="1">IF(A48=$D$8,SUM($G$35:G48),IF(A48&gt;$D$8,"",E48*D49*$D$9/IF(OR(YEAR(C49)=2020,YEAR(C49)=2024),366,365)))</f>
        <v>12901.312485911718</v>
      </c>
      <c r="H49" s="12">
        <f ca="1">IF(A48=$D$8,SUM($H$35:H48),IF(A48="","",(G49+F49)))</f>
        <v>25421.603679988366</v>
      </c>
      <c r="I49" s="12" t="str">
        <f t="shared" ref="I49:I95" si="22">IF(A48=$F$8,$I$34,"")</f>
        <v/>
      </c>
      <c r="J49" s="12" t="str">
        <f t="shared" ref="J49:J95" si="23">IF(A48=$F$8,$J$34,"")</f>
        <v/>
      </c>
      <c r="K49" s="12" t="str">
        <f t="shared" ref="K49:K95" si="24">IF(A48=$F$8,$K$34,"")</f>
        <v/>
      </c>
      <c r="L49" s="12" t="str">
        <f t="shared" ref="L49:L95" si="25">IF(A48=$F$8,$L$34,"")</f>
        <v/>
      </c>
      <c r="M49" s="12" t="str">
        <f t="shared" si="21"/>
        <v/>
      </c>
      <c r="N49" s="12" t="str">
        <f t="shared" ref="N49:N95" si="26">IF(A48=$F$8,$N$34,"")</f>
        <v/>
      </c>
      <c r="O49" s="12" t="str">
        <f t="shared" ref="O49:O94" si="27">IF(A48=$F$8,$O$34,"")</f>
        <v/>
      </c>
      <c r="P49" s="12"/>
      <c r="Q49" s="51" t="str">
        <f>IF(A48=$D$8,XIRR(S$34:S48,C$34:C48),"")</f>
        <v/>
      </c>
      <c r="R49" s="12" t="str">
        <f t="shared" si="6"/>
        <v/>
      </c>
      <c r="S49" s="115">
        <f t="shared" ca="1" si="4"/>
        <v>25421.603679988366</v>
      </c>
    </row>
    <row r="50" spans="1:19" x14ac:dyDescent="0.35">
      <c r="A50" s="10">
        <f t="shared" si="5"/>
        <v>16</v>
      </c>
      <c r="B50" s="49">
        <f ca="1">EDATE($B$34,16)</f>
        <v>44713</v>
      </c>
      <c r="C50" s="11">
        <f t="shared" ca="1" si="7"/>
        <v>44713</v>
      </c>
      <c r="D50" s="10">
        <f t="shared" ca="1" si="20"/>
        <v>31</v>
      </c>
      <c r="E50" s="12">
        <f t="shared" ca="1" si="19"/>
        <v>801759.24240450317</v>
      </c>
      <c r="F50" s="12">
        <f ca="1">IF(AND(A49="",A51=""),"",IF(A50="",SUM($F$35:F49),IF(A50=$D$8,$E$34-SUM($F$35:F49),$F$22-G50)))</f>
        <v>12292.180875314505</v>
      </c>
      <c r="G50" s="12">
        <f ca="1">IF(A49=$D$8,SUM($G$35:G49),IF(A49&gt;$D$8,"",E49*D50*$D$9/IF(OR(YEAR(C50)=2020,YEAR(C50)=2024),366,365)))</f>
        <v>13129.422804673861</v>
      </c>
      <c r="H50" s="12">
        <f ca="1">IF(A49=$D$8,SUM($H$35:H49),IF(A49="","",(G50+F50)))</f>
        <v>25421.603679988366</v>
      </c>
      <c r="I50" s="12" t="str">
        <f t="shared" si="22"/>
        <v/>
      </c>
      <c r="J50" s="12" t="str">
        <f t="shared" si="23"/>
        <v/>
      </c>
      <c r="K50" s="12" t="str">
        <f t="shared" si="24"/>
        <v/>
      </c>
      <c r="L50" s="12" t="str">
        <f t="shared" si="25"/>
        <v/>
      </c>
      <c r="M50" s="12" t="str">
        <f t="shared" si="21"/>
        <v/>
      </c>
      <c r="N50" s="12" t="str">
        <f t="shared" si="26"/>
        <v/>
      </c>
      <c r="O50" s="12" t="str">
        <f t="shared" si="27"/>
        <v/>
      </c>
      <c r="P50" s="12"/>
      <c r="Q50" s="51" t="str">
        <f>IF(A49=$D$8,XIRR(S$34:S49,C$34:C49),"")</f>
        <v/>
      </c>
      <c r="R50" s="12" t="str">
        <f t="shared" si="6"/>
        <v/>
      </c>
      <c r="S50" s="115">
        <f t="shared" ca="1" si="4"/>
        <v>25421.603679988366</v>
      </c>
    </row>
    <row r="51" spans="1:19" x14ac:dyDescent="0.35">
      <c r="A51" s="10">
        <f t="shared" si="5"/>
        <v>17</v>
      </c>
      <c r="B51" s="49">
        <f ca="1">EDATE($B$34,17)</f>
        <v>44743</v>
      </c>
      <c r="C51" s="11">
        <f t="shared" ca="1" si="7"/>
        <v>44743</v>
      </c>
      <c r="D51" s="10">
        <f t="shared" ca="1" si="20"/>
        <v>30</v>
      </c>
      <c r="E51" s="12">
        <f t="shared" ca="1" si="19"/>
        <v>788851.6727080174</v>
      </c>
      <c r="F51" s="12">
        <f ca="1">IF(AND(A50="",A52=""),"",IF(A51="",SUM($F$35:F50),IF(A51=$D$8,$E$34-SUM($F$35:F50),$F$22-G51)))</f>
        <v>12907.569696485751</v>
      </c>
      <c r="G51" s="12">
        <f ca="1">IF(A50=$D$8,SUM($G$35:G50),IF(A50&gt;$D$8,"",E50*D51*$D$9/IF(OR(YEAR(C51)=2020,YEAR(C51)=2024),366,365)))</f>
        <v>12514.033983502615</v>
      </c>
      <c r="H51" s="12">
        <f ca="1">IF(A50=$D$8,SUM($H$35:H50),IF(A50="","",(G51+F51)))</f>
        <v>25421.603679988366</v>
      </c>
      <c r="I51" s="12" t="str">
        <f t="shared" si="22"/>
        <v/>
      </c>
      <c r="J51" s="12" t="str">
        <f t="shared" si="23"/>
        <v/>
      </c>
      <c r="K51" s="12" t="str">
        <f t="shared" si="24"/>
        <v/>
      </c>
      <c r="L51" s="12" t="str">
        <f t="shared" si="25"/>
        <v/>
      </c>
      <c r="M51" s="12" t="str">
        <f t="shared" si="21"/>
        <v/>
      </c>
      <c r="N51" s="12" t="str">
        <f t="shared" si="26"/>
        <v/>
      </c>
      <c r="O51" s="12" t="str">
        <f t="shared" si="27"/>
        <v/>
      </c>
      <c r="P51" s="12"/>
      <c r="Q51" s="51" t="str">
        <f>IF(A50=$D$8,XIRR(S$34:S50,C$34:C50),"")</f>
        <v/>
      </c>
      <c r="R51" s="12" t="str">
        <f t="shared" si="6"/>
        <v/>
      </c>
      <c r="S51" s="115">
        <f t="shared" ca="1" si="4"/>
        <v>25421.603679988366</v>
      </c>
    </row>
    <row r="52" spans="1:19" x14ac:dyDescent="0.35">
      <c r="A52" s="10">
        <f t="shared" si="5"/>
        <v>18</v>
      </c>
      <c r="B52" s="49">
        <f ca="1">EDATE($B$34,18)</f>
        <v>44774</v>
      </c>
      <c r="C52" s="11">
        <f t="shared" ca="1" si="7"/>
        <v>44774</v>
      </c>
      <c r="D52" s="10">
        <f t="shared" ca="1" si="20"/>
        <v>31</v>
      </c>
      <c r="E52" s="12">
        <f t="shared" ca="1" si="19"/>
        <v>776153.05782820669</v>
      </c>
      <c r="F52" s="12">
        <f ca="1">IF(AND(A51="",A53=""),"",IF(A52="",SUM($F$35:F51),IF(A52=$D$8,$E$34-SUM($F$35:F51),$F$22-G52)))</f>
        <v>12698.614879810755</v>
      </c>
      <c r="G52" s="12">
        <f ca="1">IF(A51=$D$8,SUM($G$35:G51),IF(A51&gt;$D$8,"",E51*D52*$D$9/IF(OR(YEAR(C52)=2020,YEAR(C52)=2024),366,365)))</f>
        <v>12722.988800177611</v>
      </c>
      <c r="H52" s="12">
        <f ca="1">IF(A51=$D$8,SUM($H$35:H51),IF(A51="","",(G52+F52)))</f>
        <v>25421.603679988366</v>
      </c>
      <c r="I52" s="12" t="str">
        <f t="shared" si="22"/>
        <v/>
      </c>
      <c r="J52" s="12" t="str">
        <f t="shared" si="23"/>
        <v/>
      </c>
      <c r="K52" s="12" t="str">
        <f t="shared" si="24"/>
        <v/>
      </c>
      <c r="L52" s="12" t="str">
        <f t="shared" si="25"/>
        <v/>
      </c>
      <c r="M52" s="12" t="str">
        <f t="shared" si="21"/>
        <v/>
      </c>
      <c r="N52" s="12" t="str">
        <f t="shared" si="26"/>
        <v/>
      </c>
      <c r="O52" s="12" t="str">
        <f t="shared" si="27"/>
        <v/>
      </c>
      <c r="P52" s="12"/>
      <c r="Q52" s="51" t="str">
        <f>IF(A51=$D$8,XIRR(S$34:S51,C$34:C51),"")</f>
        <v/>
      </c>
      <c r="R52" s="12" t="str">
        <f t="shared" si="6"/>
        <v/>
      </c>
      <c r="S52" s="115">
        <f t="shared" ca="1" si="4"/>
        <v>25421.603679988366</v>
      </c>
    </row>
    <row r="53" spans="1:19" x14ac:dyDescent="0.35">
      <c r="A53" s="10">
        <f t="shared" si="5"/>
        <v>19</v>
      </c>
      <c r="B53" s="49">
        <f ca="1">EDATE($B$34,19)</f>
        <v>44805</v>
      </c>
      <c r="C53" s="11">
        <f t="shared" ca="1" si="7"/>
        <v>44805</v>
      </c>
      <c r="D53" s="10">
        <f t="shared" ca="1" si="20"/>
        <v>31</v>
      </c>
      <c r="E53" s="12">
        <f t="shared" ca="1" si="19"/>
        <v>763249.63342528371</v>
      </c>
      <c r="F53" s="12">
        <f ca="1">IF(AND(A52="",A54=""),"",IF(A53="",SUM($F$35:F52),IF(A53=$D$8,$E$34-SUM($F$35:F52),$F$22-G53)))</f>
        <v>12903.424402922967</v>
      </c>
      <c r="G53" s="12">
        <f ca="1">IF(A52=$D$8,SUM($G$35:G52),IF(A52&gt;$D$8,"",E52*D53*$D$9/IF(OR(YEAR(C53)=2020,YEAR(C53)=2024),366,365)))</f>
        <v>12518.179277065399</v>
      </c>
      <c r="H53" s="12">
        <f ca="1">IF(A52=$D$8,SUM($H$35:H52),IF(A52="","",(G53+F53)))</f>
        <v>25421.603679988366</v>
      </c>
      <c r="I53" s="12" t="str">
        <f t="shared" si="22"/>
        <v/>
      </c>
      <c r="J53" s="12" t="str">
        <f t="shared" si="23"/>
        <v/>
      </c>
      <c r="K53" s="12" t="str">
        <f t="shared" si="24"/>
        <v/>
      </c>
      <c r="L53" s="12" t="str">
        <f t="shared" si="25"/>
        <v/>
      </c>
      <c r="M53" s="12" t="str">
        <f t="shared" si="21"/>
        <v/>
      </c>
      <c r="N53" s="12" t="str">
        <f t="shared" si="26"/>
        <v/>
      </c>
      <c r="O53" s="12" t="str">
        <f t="shared" si="27"/>
        <v/>
      </c>
      <c r="P53" s="12"/>
      <c r="Q53" s="51" t="str">
        <f>IF(A52=$D$8,XIRR(S$34:S52,C$34:C52),"")</f>
        <v/>
      </c>
      <c r="R53" s="12" t="str">
        <f t="shared" si="6"/>
        <v/>
      </c>
      <c r="S53" s="115">
        <f t="shared" ca="1" si="4"/>
        <v>25421.603679988366</v>
      </c>
    </row>
    <row r="54" spans="1:19" x14ac:dyDescent="0.35">
      <c r="A54" s="10">
        <f t="shared" si="5"/>
        <v>20</v>
      </c>
      <c r="B54" s="49">
        <f ca="1">EDATE($B$34,20)</f>
        <v>44835</v>
      </c>
      <c r="C54" s="11">
        <f t="shared" ca="1" si="7"/>
        <v>44835</v>
      </c>
      <c r="D54" s="10">
        <f t="shared" ca="1" si="20"/>
        <v>30</v>
      </c>
      <c r="E54" s="12">
        <f t="shared" ca="1" si="19"/>
        <v>749740.99731138803</v>
      </c>
      <c r="F54" s="12">
        <f ca="1">IF(AND(A53="",A55=""),"",IF(A54="",SUM($F$35:F53),IF(A54=$D$8,$E$34-SUM($F$35:F53),$F$22-G54)))</f>
        <v>13508.636113895651</v>
      </c>
      <c r="G54" s="12">
        <f ca="1">IF(A53=$D$8,SUM($G$35:G53),IF(A53&gt;$D$8,"",E53*D54*$D$9/IF(OR(YEAR(C54)=2020,YEAR(C54)=2024),366,365)))</f>
        <v>11912.967566092715</v>
      </c>
      <c r="H54" s="12">
        <f ca="1">IF(A53=$D$8,SUM($H$35:H53),IF(A53="","",(G54+F54)))</f>
        <v>25421.603679988366</v>
      </c>
      <c r="I54" s="12" t="str">
        <f t="shared" si="22"/>
        <v/>
      </c>
      <c r="J54" s="12" t="str">
        <f t="shared" si="23"/>
        <v/>
      </c>
      <c r="K54" s="12" t="str">
        <f t="shared" si="24"/>
        <v/>
      </c>
      <c r="L54" s="12" t="str">
        <f t="shared" si="25"/>
        <v/>
      </c>
      <c r="M54" s="12" t="str">
        <f t="shared" si="21"/>
        <v/>
      </c>
      <c r="N54" s="12" t="str">
        <f t="shared" si="26"/>
        <v/>
      </c>
      <c r="O54" s="12" t="str">
        <f t="shared" si="27"/>
        <v/>
      </c>
      <c r="P54" s="12"/>
      <c r="Q54" s="51" t="str">
        <f>IF(A53=$D$8,XIRR(S$34:S53,C$34:C53),"")</f>
        <v/>
      </c>
      <c r="R54" s="12" t="str">
        <f t="shared" si="6"/>
        <v/>
      </c>
      <c r="S54" s="115">
        <f t="shared" ca="1" si="4"/>
        <v>25421.603679988366</v>
      </c>
    </row>
    <row r="55" spans="1:19" x14ac:dyDescent="0.35">
      <c r="A55" s="10">
        <f t="shared" si="5"/>
        <v>21</v>
      </c>
      <c r="B55" s="49">
        <f ca="1">EDATE($B$34,21)</f>
        <v>44866</v>
      </c>
      <c r="C55" s="11">
        <f t="shared" ca="1" si="7"/>
        <v>44866</v>
      </c>
      <c r="D55" s="10">
        <f t="shared" ca="1" si="20"/>
        <v>31</v>
      </c>
      <c r="E55" s="12">
        <f t="shared" ca="1" si="19"/>
        <v>736411.58617132413</v>
      </c>
      <c r="F55" s="12">
        <f ca="1">IF(AND(A54="",A56=""),"",IF(A55="",SUM($F$35:F54),IF(A55=$D$8,$E$34-SUM($F$35:F54),$F$22-G55)))</f>
        <v>13329.411140063952</v>
      </c>
      <c r="G55" s="12">
        <f ca="1">IF(A54=$D$8,SUM($G$35:G54),IF(A54&gt;$D$8,"",E54*D55*$D$9/IF(OR(YEAR(C55)=2020,YEAR(C55)=2024),366,365)))</f>
        <v>12092.192539924414</v>
      </c>
      <c r="H55" s="12">
        <f ca="1">IF(A54=$D$8,SUM($H$35:H54),IF(A54="","",(G55+F55)))</f>
        <v>25421.603679988366</v>
      </c>
      <c r="I55" s="12" t="str">
        <f t="shared" si="22"/>
        <v/>
      </c>
      <c r="J55" s="12" t="str">
        <f t="shared" si="23"/>
        <v/>
      </c>
      <c r="K55" s="12" t="str">
        <f t="shared" si="24"/>
        <v/>
      </c>
      <c r="L55" s="12" t="str">
        <f t="shared" si="25"/>
        <v/>
      </c>
      <c r="M55" s="12" t="str">
        <f t="shared" si="21"/>
        <v/>
      </c>
      <c r="N55" s="12" t="str">
        <f t="shared" si="26"/>
        <v/>
      </c>
      <c r="O55" s="12" t="str">
        <f t="shared" si="27"/>
        <v/>
      </c>
      <c r="P55" s="12"/>
      <c r="Q55" s="51" t="str">
        <f>IF(A54=$D$8,XIRR(S$34:S54,C$34:C54),"")</f>
        <v/>
      </c>
      <c r="R55" s="12" t="str">
        <f t="shared" si="6"/>
        <v/>
      </c>
      <c r="S55" s="115">
        <f t="shared" ca="1" si="4"/>
        <v>25421.603679988366</v>
      </c>
    </row>
    <row r="56" spans="1:19" x14ac:dyDescent="0.35">
      <c r="A56" s="10">
        <f t="shared" si="5"/>
        <v>22</v>
      </c>
      <c r="B56" s="49">
        <f ca="1">EDATE($B$34,22)</f>
        <v>44896</v>
      </c>
      <c r="C56" s="11">
        <f t="shared" ca="1" si="7"/>
        <v>44896</v>
      </c>
      <c r="D56" s="10">
        <f t="shared" ca="1" si="20"/>
        <v>30</v>
      </c>
      <c r="E56" s="12">
        <f t="shared" ca="1" si="19"/>
        <v>722484.05593357701</v>
      </c>
      <c r="F56" s="12">
        <f ca="1">IF(AND(A55="",A57=""),"",IF(A56="",SUM($F$35:F55),IF(A56=$D$8,$E$34-SUM($F$35:F55),$F$22-G56)))</f>
        <v>13927.530237747176</v>
      </c>
      <c r="G56" s="12">
        <f ca="1">IF(A55=$D$8,SUM($G$35:G55),IF(A55&gt;$D$8,"",E55*D56*$D$9/IF(OR(YEAR(C56)=2020,YEAR(C56)=2024),366,365)))</f>
        <v>11494.07344224119</v>
      </c>
      <c r="H56" s="12">
        <f ca="1">IF(A55=$D$8,SUM($H$35:H55),IF(A55="","",(G56+F56)))</f>
        <v>25421.603679988366</v>
      </c>
      <c r="I56" s="12" t="str">
        <f t="shared" si="22"/>
        <v/>
      </c>
      <c r="J56" s="12" t="str">
        <f t="shared" si="23"/>
        <v/>
      </c>
      <c r="K56" s="12" t="str">
        <f t="shared" si="24"/>
        <v/>
      </c>
      <c r="L56" s="12" t="str">
        <f t="shared" si="25"/>
        <v/>
      </c>
      <c r="M56" s="12" t="str">
        <f t="shared" si="21"/>
        <v/>
      </c>
      <c r="N56" s="12" t="str">
        <f t="shared" si="26"/>
        <v/>
      </c>
      <c r="O56" s="12" t="str">
        <f t="shared" si="27"/>
        <v/>
      </c>
      <c r="P56" s="12"/>
      <c r="Q56" s="51" t="str">
        <f>IF(A55=$D$8,XIRR(S$34:S55,C$34:C55),"")</f>
        <v/>
      </c>
      <c r="R56" s="12" t="str">
        <f t="shared" si="6"/>
        <v/>
      </c>
      <c r="S56" s="115">
        <f t="shared" ca="1" si="4"/>
        <v>25421.603679988366</v>
      </c>
    </row>
    <row r="57" spans="1:19" x14ac:dyDescent="0.35">
      <c r="A57" s="10">
        <f t="shared" si="5"/>
        <v>23</v>
      </c>
      <c r="B57" s="49">
        <f ca="1">EDATE($B$34,23)</f>
        <v>44927</v>
      </c>
      <c r="C57" s="11">
        <f t="shared" ca="1" si="7"/>
        <v>44927</v>
      </c>
      <c r="D57" s="10">
        <f t="shared" ca="1" si="20"/>
        <v>31</v>
      </c>
      <c r="E57" s="12">
        <f t="shared" ca="1" si="19"/>
        <v>708715.03140119242</v>
      </c>
      <c r="F57" s="12">
        <f ca="1">IF(AND(A56="",A58=""),"",IF(A57="",SUM($F$35:F56),IF(A57=$D$8,$E$34-SUM($F$35:F56),$F$22-G57)))</f>
        <v>13769.024532384599</v>
      </c>
      <c r="G57" s="12">
        <f ca="1">IF(A56=$D$8,SUM($G$35:G56),IF(A56&gt;$D$8,"",E56*D57*$D$9/IF(OR(YEAR(C57)=2020,YEAR(C57)=2024),366,365)))</f>
        <v>11652.579147603767</v>
      </c>
      <c r="H57" s="12">
        <f ca="1">IF(A56=$D$8,SUM($H$35:H56),IF(A56="","",(G57+F57)))</f>
        <v>25421.603679988366</v>
      </c>
      <c r="I57" s="12" t="str">
        <f t="shared" si="22"/>
        <v/>
      </c>
      <c r="J57" s="12" t="str">
        <f t="shared" si="23"/>
        <v/>
      </c>
      <c r="K57" s="12" t="str">
        <f t="shared" si="24"/>
        <v/>
      </c>
      <c r="L57" s="12" t="str">
        <f t="shared" si="25"/>
        <v/>
      </c>
      <c r="M57" s="12" t="str">
        <f t="shared" si="21"/>
        <v/>
      </c>
      <c r="N57" s="12" t="str">
        <f t="shared" si="26"/>
        <v/>
      </c>
      <c r="O57" s="12" t="str">
        <f t="shared" si="27"/>
        <v/>
      </c>
      <c r="P57" s="12"/>
      <c r="Q57" s="51" t="str">
        <f>IF(A56=$D$8,XIRR(S$34:S56,C$34:C56),"")</f>
        <v/>
      </c>
      <c r="R57" s="12" t="str">
        <f t="shared" si="6"/>
        <v/>
      </c>
      <c r="S57" s="115">
        <f t="shared" ca="1" si="4"/>
        <v>25421.603679988366</v>
      </c>
    </row>
    <row r="58" spans="1:19" x14ac:dyDescent="0.35">
      <c r="A58" s="10">
        <f t="shared" si="5"/>
        <v>24</v>
      </c>
      <c r="B58" s="49">
        <f ca="1">EDATE($B$34,24)</f>
        <v>44958</v>
      </c>
      <c r="C58" s="11">
        <f ca="1">IF(B58&gt;$F$19,"",IF(B58=$F$19,B58-1,B58))</f>
        <v>44958</v>
      </c>
      <c r="D58" s="10">
        <f t="shared" ca="1" si="20"/>
        <v>31</v>
      </c>
      <c r="E58" s="12">
        <f t="shared" ca="1" si="19"/>
        <v>694723.93325094564</v>
      </c>
      <c r="F58" s="12">
        <f ca="1">IF(AND(A57="",A59=""),"",IF(A58="",SUM($F$35:F57),IF(A58=$D$8,$E$34-SUM($F$35:F57),$F$22-G58)))</f>
        <v>13991.098150246777</v>
      </c>
      <c r="G58" s="12">
        <f ca="1">IF(A57=$D$8,SUM($G$35:G57),IF(A57&gt;$D$8,"",E57*D58*$D$9/IF(OR(YEAR(C58)=2020,YEAR(C58)=2024),366,365)))</f>
        <v>11430.505529741589</v>
      </c>
      <c r="H58" s="12">
        <f ca="1">IF(A57=$D$8,SUM($H$35:H57),IF(A57="","",(G58+F58)))</f>
        <v>25421.603679988366</v>
      </c>
      <c r="I58" s="12" t="str">
        <f t="shared" si="22"/>
        <v/>
      </c>
      <c r="J58" s="12" t="str">
        <f t="shared" si="23"/>
        <v/>
      </c>
      <c r="K58" s="12" t="str">
        <f t="shared" si="24"/>
        <v/>
      </c>
      <c r="L58" s="12" t="str">
        <f t="shared" si="25"/>
        <v/>
      </c>
      <c r="M58" s="12" t="str">
        <f t="shared" si="21"/>
        <v/>
      </c>
      <c r="N58" s="12" t="str">
        <f t="shared" si="26"/>
        <v/>
      </c>
      <c r="O58" s="12" t="str">
        <f t="shared" si="27"/>
        <v/>
      </c>
      <c r="P58" s="12"/>
      <c r="Q58" s="51" t="str">
        <f>IF(A57=$D$8,XIRR(S$34:S57,C$34:C57),"")</f>
        <v/>
      </c>
      <c r="R58" s="12" t="str">
        <f t="shared" si="6"/>
        <v/>
      </c>
      <c r="S58" s="115">
        <f t="shared" ca="1" si="4"/>
        <v>25421.603679988366</v>
      </c>
    </row>
    <row r="59" spans="1:19" x14ac:dyDescent="0.35">
      <c r="A59" s="10">
        <f t="shared" si="5"/>
        <v>25</v>
      </c>
      <c r="B59" s="49">
        <f ca="1">EDATE($B$34,25)</f>
        <v>44986</v>
      </c>
      <c r="C59" s="11">
        <f t="shared" ref="C59:C118" ca="1" si="28">IF(B59&gt;$F$19,"",IF(B59=$F$19,B59-1,B59))</f>
        <v>44986</v>
      </c>
      <c r="D59" s="10">
        <f t="shared" ca="1" si="20"/>
        <v>28</v>
      </c>
      <c r="E59" s="12">
        <f t="shared" ca="1" si="19"/>
        <v>679422.83942816802</v>
      </c>
      <c r="F59" s="12">
        <f ca="1">IF(AND(A58="",A60=""),"",IF(A59="",SUM($F$35:F58),IF(A59=$D$8,$E$34-SUM($F$35:F58),$F$22-G59)))</f>
        <v>15301.093822777604</v>
      </c>
      <c r="G59" s="12">
        <f ca="1">IF(A58=$D$8,SUM($G$35:G58),IF(A58&gt;$D$8,"",E58*D59*$D$9/IF(OR(YEAR(C59)=2020,YEAR(C59)=2024),366,365)))</f>
        <v>10120.509857210762</v>
      </c>
      <c r="H59" s="12">
        <f ca="1">IF(A58=$D$8,SUM($H$35:H58),IF(A58="","",(G59+F59)))</f>
        <v>25421.603679988366</v>
      </c>
      <c r="I59" s="12" t="str">
        <f t="shared" si="22"/>
        <v/>
      </c>
      <c r="J59" s="12" t="str">
        <f t="shared" si="23"/>
        <v/>
      </c>
      <c r="K59" s="12" t="str">
        <f t="shared" si="24"/>
        <v/>
      </c>
      <c r="L59" s="12" t="str">
        <f t="shared" si="25"/>
        <v/>
      </c>
      <c r="M59" s="12" t="str">
        <f t="shared" si="21"/>
        <v/>
      </c>
      <c r="N59" s="12" t="str">
        <f t="shared" si="26"/>
        <v/>
      </c>
      <c r="O59" s="12">
        <f>IF($F$8&gt;24,($P$17),IF($A$58=$F$8,O47+O34,""))</f>
        <v>2500</v>
      </c>
      <c r="P59" s="12"/>
      <c r="Q59" s="51" t="str">
        <f>IF(A58=$D$8,XIRR(S$34:S58,C$34:C58),"")</f>
        <v/>
      </c>
      <c r="R59" s="12" t="str">
        <f t="shared" si="6"/>
        <v/>
      </c>
      <c r="S59" s="115">
        <f t="shared" ca="1" si="4"/>
        <v>27921.603679988366</v>
      </c>
    </row>
    <row r="60" spans="1:19" x14ac:dyDescent="0.35">
      <c r="A60" s="10">
        <f t="shared" si="5"/>
        <v>26</v>
      </c>
      <c r="B60" s="49">
        <f ca="1">EDATE($B$34,26)</f>
        <v>45017</v>
      </c>
      <c r="C60" s="11">
        <f t="shared" ca="1" si="28"/>
        <v>45017</v>
      </c>
      <c r="D60" s="10">
        <f t="shared" ca="1" si="20"/>
        <v>31</v>
      </c>
      <c r="E60" s="12">
        <f t="shared" ca="1" si="19"/>
        <v>664959.30236031581</v>
      </c>
      <c r="F60" s="12">
        <f ca="1">IF(AND(A59="",A61=""),"",IF(A60="",SUM($F$35:F59),IF(A60=$D$8,$E$34-SUM($F$35:F59),$F$22-G60)))</f>
        <v>14463.537067852249</v>
      </c>
      <c r="G60" s="12">
        <f ca="1">IF(A59=$D$8,SUM($G$35:G59),IF(A59&gt;$D$8,"",E59*D60*$D$9/IF(OR(YEAR(C60)=2020,YEAR(C60)=2024),366,365)))</f>
        <v>10958.066612136117</v>
      </c>
      <c r="H60" s="12">
        <f ca="1">IF(A59=$D$8,SUM($H$35:H59),IF(A59="","",(G60+F60)))</f>
        <v>25421.603679988366</v>
      </c>
      <c r="I60" s="12" t="str">
        <f t="shared" si="22"/>
        <v/>
      </c>
      <c r="J60" s="12" t="str">
        <f t="shared" si="23"/>
        <v/>
      </c>
      <c r="K60" s="12" t="str">
        <f t="shared" si="24"/>
        <v/>
      </c>
      <c r="L60" s="12" t="str">
        <f t="shared" si="25"/>
        <v/>
      </c>
      <c r="M60" s="12" t="str">
        <f t="shared" si="21"/>
        <v/>
      </c>
      <c r="N60" s="12" t="str">
        <f t="shared" si="26"/>
        <v/>
      </c>
      <c r="O60" s="12" t="str">
        <f t="shared" si="27"/>
        <v/>
      </c>
      <c r="P60" s="12"/>
      <c r="Q60" s="51" t="str">
        <f>IF(A59=$D$8,XIRR(S$34:S59,C$34:C59),"")</f>
        <v/>
      </c>
      <c r="R60" s="12" t="str">
        <f t="shared" si="6"/>
        <v/>
      </c>
      <c r="S60" s="115">
        <f t="shared" ca="1" si="4"/>
        <v>25421.603679988366</v>
      </c>
    </row>
    <row r="61" spans="1:19" x14ac:dyDescent="0.35">
      <c r="A61" s="10">
        <f t="shared" si="5"/>
        <v>27</v>
      </c>
      <c r="B61" s="49">
        <f ca="1">EDATE($B$34,27)</f>
        <v>45047</v>
      </c>
      <c r="C61" s="11">
        <f t="shared" ca="1" si="28"/>
        <v>45047</v>
      </c>
      <c r="D61" s="10">
        <f t="shared" ca="1" si="20"/>
        <v>30</v>
      </c>
      <c r="E61" s="12">
        <f t="shared" ca="1" si="19"/>
        <v>649916.52921607182</v>
      </c>
      <c r="F61" s="12">
        <f ca="1">IF(AND(A60="",A62=""),"",IF(A61="",SUM($F$35:F60),IF(A61=$D$8,$E$34-SUM($F$35:F60),$F$22-G61)))</f>
        <v>15042.773144243927</v>
      </c>
      <c r="G61" s="12">
        <f ca="1">IF(A60=$D$8,SUM($G$35:G60),IF(A60&gt;$D$8,"",E60*D61*$D$9/IF(OR(YEAR(C61)=2020,YEAR(C61)=2024),366,365)))</f>
        <v>10378.830535744439</v>
      </c>
      <c r="H61" s="12">
        <f ca="1">IF(A60=$D$8,SUM($H$35:H60),IF(A60="","",(G61+F61)))</f>
        <v>25421.603679988366</v>
      </c>
      <c r="I61" s="12" t="str">
        <f t="shared" si="22"/>
        <v/>
      </c>
      <c r="J61" s="12" t="str">
        <f t="shared" si="23"/>
        <v/>
      </c>
      <c r="K61" s="12" t="str">
        <f t="shared" si="24"/>
        <v/>
      </c>
      <c r="L61" s="12" t="str">
        <f t="shared" si="25"/>
        <v/>
      </c>
      <c r="M61" s="12" t="str">
        <f t="shared" si="21"/>
        <v/>
      </c>
      <c r="N61" s="12" t="str">
        <f t="shared" si="26"/>
        <v/>
      </c>
      <c r="O61" s="12" t="str">
        <f t="shared" si="27"/>
        <v/>
      </c>
      <c r="P61" s="12"/>
      <c r="Q61" s="51" t="str">
        <f>IF(A60=$D$8,XIRR(S$34:S60,C$34:C60),"")</f>
        <v/>
      </c>
      <c r="R61" s="12" t="str">
        <f t="shared" si="6"/>
        <v/>
      </c>
      <c r="S61" s="115">
        <f t="shared" ca="1" si="4"/>
        <v>25421.603679988366</v>
      </c>
    </row>
    <row r="62" spans="1:19" x14ac:dyDescent="0.35">
      <c r="A62" s="10">
        <f t="shared" si="5"/>
        <v>28</v>
      </c>
      <c r="B62" s="49">
        <f ca="1">EDATE($B$34,28)</f>
        <v>45078</v>
      </c>
      <c r="C62" s="11">
        <f t="shared" ca="1" si="28"/>
        <v>45078</v>
      </c>
      <c r="D62" s="10">
        <f t="shared" ca="1" si="20"/>
        <v>31</v>
      </c>
      <c r="E62" s="12">
        <f t="shared" ca="1" si="19"/>
        <v>634977.09982606175</v>
      </c>
      <c r="F62" s="12">
        <f ca="1">IF(AND(A61="",A63=""),"",IF(A62="",SUM($F$35:F61),IF(A62=$D$8,$E$34-SUM($F$35:F61),$F$22-G62)))</f>
        <v>14939.429390010027</v>
      </c>
      <c r="G62" s="12">
        <f ca="1">IF(A61=$D$8,SUM($G$35:G61),IF(A61&gt;$D$8,"",E61*D62*$D$9/IF(OR(YEAR(C62)=2020,YEAR(C62)=2024),366,365)))</f>
        <v>10482.174289978338</v>
      </c>
      <c r="H62" s="12">
        <f ca="1">IF(A61=$D$8,SUM($H$35:H61),IF(A61="","",(G62+F62)))</f>
        <v>25421.603679988366</v>
      </c>
      <c r="I62" s="12" t="str">
        <f t="shared" si="22"/>
        <v/>
      </c>
      <c r="J62" s="12" t="str">
        <f t="shared" si="23"/>
        <v/>
      </c>
      <c r="K62" s="12" t="str">
        <f t="shared" si="24"/>
        <v/>
      </c>
      <c r="L62" s="12" t="str">
        <f t="shared" si="25"/>
        <v/>
      </c>
      <c r="M62" s="12" t="str">
        <f t="shared" si="21"/>
        <v/>
      </c>
      <c r="N62" s="12" t="str">
        <f t="shared" si="26"/>
        <v/>
      </c>
      <c r="O62" s="12" t="str">
        <f t="shared" si="27"/>
        <v/>
      </c>
      <c r="P62" s="12"/>
      <c r="Q62" s="51" t="str">
        <f>IF(A61=$D$8,XIRR(S$34:S61,C$34:C61),"")</f>
        <v/>
      </c>
      <c r="R62" s="12" t="str">
        <f t="shared" si="6"/>
        <v/>
      </c>
      <c r="S62" s="115">
        <f t="shared" ca="1" si="4"/>
        <v>25421.603679988366</v>
      </c>
    </row>
    <row r="63" spans="1:19" x14ac:dyDescent="0.35">
      <c r="A63" s="10">
        <f t="shared" si="5"/>
        <v>29</v>
      </c>
      <c r="B63" s="49">
        <f ca="1">EDATE($B$34,29)</f>
        <v>45108</v>
      </c>
      <c r="C63" s="11">
        <f t="shared" ca="1" si="28"/>
        <v>45108</v>
      </c>
      <c r="D63" s="10">
        <f t="shared" ca="1" si="20"/>
        <v>30</v>
      </c>
      <c r="E63" s="12">
        <f t="shared" ca="1" si="19"/>
        <v>619466.35789322155</v>
      </c>
      <c r="F63" s="12">
        <f ca="1">IF(AND(A62="",A64=""),"",IF(A63="",SUM($F$35:F62),IF(A63=$D$8,$E$34-SUM($F$35:F62),$F$22-G63)))</f>
        <v>15510.741932840217</v>
      </c>
      <c r="G63" s="12">
        <f ca="1">IF(A62=$D$8,SUM($G$35:G62),IF(A62&gt;$D$8,"",E62*D63*$D$9/IF(OR(YEAR(C63)=2020,YEAR(C63)=2024),366,365)))</f>
        <v>9910.8617471481484</v>
      </c>
      <c r="H63" s="12">
        <f ca="1">IF(A62=$D$8,SUM($H$35:H62),IF(A62="","",(G63+F63)))</f>
        <v>25421.603679988366</v>
      </c>
      <c r="I63" s="12" t="str">
        <f t="shared" si="22"/>
        <v/>
      </c>
      <c r="J63" s="12" t="str">
        <f t="shared" si="23"/>
        <v/>
      </c>
      <c r="K63" s="12" t="str">
        <f t="shared" si="24"/>
        <v/>
      </c>
      <c r="L63" s="12" t="str">
        <f t="shared" si="25"/>
        <v/>
      </c>
      <c r="M63" s="12" t="str">
        <f t="shared" si="21"/>
        <v/>
      </c>
      <c r="N63" s="12" t="str">
        <f t="shared" si="26"/>
        <v/>
      </c>
      <c r="O63" s="12" t="str">
        <f t="shared" si="27"/>
        <v/>
      </c>
      <c r="P63" s="12"/>
      <c r="Q63" s="51" t="str">
        <f>IF(A62=$D$8,XIRR(S$34:S62,C$34:C62),"")</f>
        <v/>
      </c>
      <c r="R63" s="12" t="str">
        <f t="shared" si="6"/>
        <v/>
      </c>
      <c r="S63" s="115">
        <f t="shared" ca="1" si="4"/>
        <v>25421.603679988366</v>
      </c>
    </row>
    <row r="64" spans="1:19" x14ac:dyDescent="0.35">
      <c r="A64" s="10">
        <f t="shared" si="5"/>
        <v>30</v>
      </c>
      <c r="B64" s="49">
        <f ca="1">EDATE($B$34,30)</f>
        <v>45139</v>
      </c>
      <c r="C64" s="11">
        <f t="shared" ca="1" si="28"/>
        <v>45139</v>
      </c>
      <c r="D64" s="10">
        <f t="shared" ca="1" si="20"/>
        <v>31</v>
      </c>
      <c r="E64" s="12">
        <f t="shared" ca="1" si="19"/>
        <v>604035.81312359369</v>
      </c>
      <c r="F64" s="12">
        <f ca="1">IF(AND(A63="",A65=""),"",IF(A64="",SUM($F$35:F63),IF(A64=$D$8,$E$34-SUM($F$35:F63),$F$22-G64)))</f>
        <v>15430.544769627801</v>
      </c>
      <c r="G64" s="12">
        <f ca="1">IF(A63=$D$8,SUM($G$35:G63),IF(A63&gt;$D$8,"",E63*D64*$D$9/IF(OR(YEAR(C64)=2020,YEAR(C64)=2024),366,365)))</f>
        <v>9991.0589103605653</v>
      </c>
      <c r="H64" s="12">
        <f ca="1">IF(A63=$D$8,SUM($H$35:H63),IF(A63="","",(G64+F64)))</f>
        <v>25421.603679988366</v>
      </c>
      <c r="I64" s="12" t="str">
        <f t="shared" si="22"/>
        <v/>
      </c>
      <c r="J64" s="12" t="str">
        <f t="shared" si="23"/>
        <v/>
      </c>
      <c r="K64" s="12" t="str">
        <f t="shared" si="24"/>
        <v/>
      </c>
      <c r="L64" s="12" t="str">
        <f t="shared" si="25"/>
        <v/>
      </c>
      <c r="M64" s="12" t="str">
        <f t="shared" si="21"/>
        <v/>
      </c>
      <c r="N64" s="12" t="str">
        <f t="shared" si="26"/>
        <v/>
      </c>
      <c r="O64" s="12" t="str">
        <f t="shared" si="27"/>
        <v/>
      </c>
      <c r="P64" s="12"/>
      <c r="Q64" s="51" t="str">
        <f>IF(A63=$D$8,XIRR(S$34:S63,C$34:C63),"")</f>
        <v/>
      </c>
      <c r="R64" s="12" t="str">
        <f t="shared" si="6"/>
        <v/>
      </c>
      <c r="S64" s="115">
        <f t="shared" ca="1" si="4"/>
        <v>25421.603679988366</v>
      </c>
    </row>
    <row r="65" spans="1:19" x14ac:dyDescent="0.35">
      <c r="A65" s="10">
        <f t="shared" si="5"/>
        <v>31</v>
      </c>
      <c r="B65" s="49">
        <f ca="1">EDATE($B$34,31)</f>
        <v>45170</v>
      </c>
      <c r="C65" s="11">
        <f t="shared" ca="1" si="28"/>
        <v>45170</v>
      </c>
      <c r="D65" s="10">
        <f t="shared" ca="1" si="20"/>
        <v>31</v>
      </c>
      <c r="E65" s="12">
        <f t="shared" ca="1" si="19"/>
        <v>588356.39691833756</v>
      </c>
      <c r="F65" s="12">
        <f ca="1">IF(AND(A64="",A66=""),"",IF(A65="",SUM($F$35:F64),IF(A65=$D$8,$E$34-SUM($F$35:F64),$F$22-G65)))</f>
        <v>15679.416205256081</v>
      </c>
      <c r="G65" s="12">
        <f ca="1">IF(A64=$D$8,SUM($G$35:G64),IF(A64&gt;$D$8,"",E64*D65*$D$9/IF(OR(YEAR(C65)=2020,YEAR(C65)=2024),366,365)))</f>
        <v>9742.1874747322854</v>
      </c>
      <c r="H65" s="12">
        <f ca="1">IF(A64=$D$8,SUM($H$35:H64),IF(A64="","",(G65+F65)))</f>
        <v>25421.603679988366</v>
      </c>
      <c r="I65" s="12" t="str">
        <f t="shared" si="22"/>
        <v/>
      </c>
      <c r="J65" s="12" t="str">
        <f t="shared" si="23"/>
        <v/>
      </c>
      <c r="K65" s="12" t="str">
        <f t="shared" si="24"/>
        <v/>
      </c>
      <c r="L65" s="12" t="str">
        <f t="shared" si="25"/>
        <v/>
      </c>
      <c r="M65" s="12" t="str">
        <f t="shared" si="21"/>
        <v/>
      </c>
      <c r="N65" s="12" t="str">
        <f t="shared" si="26"/>
        <v/>
      </c>
      <c r="O65" s="12" t="str">
        <f t="shared" si="27"/>
        <v/>
      </c>
      <c r="P65" s="12"/>
      <c r="Q65" s="51" t="str">
        <f>IF(A64=$D$8,XIRR(S$34:S64,C$34:C64),"")</f>
        <v/>
      </c>
      <c r="R65" s="12" t="str">
        <f t="shared" si="6"/>
        <v/>
      </c>
      <c r="S65" s="115">
        <f t="shared" ca="1" si="4"/>
        <v>25421.603679988366</v>
      </c>
    </row>
    <row r="66" spans="1:19" x14ac:dyDescent="0.35">
      <c r="A66" s="10">
        <f t="shared" si="5"/>
        <v>32</v>
      </c>
      <c r="B66" s="49">
        <f ca="1">EDATE($B$34,32)</f>
        <v>45200</v>
      </c>
      <c r="C66" s="11">
        <f t="shared" ca="1" si="28"/>
        <v>45200</v>
      </c>
      <c r="D66" s="10">
        <f t="shared" ca="1" si="20"/>
        <v>30</v>
      </c>
      <c r="E66" s="12">
        <f t="shared" ca="1" si="19"/>
        <v>572117.98883627728</v>
      </c>
      <c r="F66" s="12">
        <f ca="1">IF(AND(A65="",A67=""),"",IF(A66="",SUM($F$35:F65),IF(A66=$D$8,$E$34-SUM($F$35:F65),$F$22-G66)))</f>
        <v>16238.40808206023</v>
      </c>
      <c r="G66" s="12">
        <f ca="1">IF(A65=$D$8,SUM($G$35:G65),IF(A65&gt;$D$8,"",E65*D66*$D$9/IF(OR(YEAR(C66)=2020,YEAR(C66)=2024),366,365)))</f>
        <v>9183.1955979281356</v>
      </c>
      <c r="H66" s="12">
        <f ca="1">IF(A65=$D$8,SUM($H$35:H65),IF(A65="","",(G66+F66)))</f>
        <v>25421.603679988366</v>
      </c>
      <c r="I66" s="12" t="str">
        <f t="shared" si="22"/>
        <v/>
      </c>
      <c r="J66" s="12" t="str">
        <f t="shared" si="23"/>
        <v/>
      </c>
      <c r="K66" s="12" t="str">
        <f t="shared" si="24"/>
        <v/>
      </c>
      <c r="L66" s="12" t="str">
        <f t="shared" si="25"/>
        <v/>
      </c>
      <c r="M66" s="12" t="str">
        <f t="shared" si="21"/>
        <v/>
      </c>
      <c r="N66" s="12" t="str">
        <f t="shared" si="26"/>
        <v/>
      </c>
      <c r="O66" s="12" t="str">
        <f t="shared" si="27"/>
        <v/>
      </c>
      <c r="P66" s="12"/>
      <c r="Q66" s="51" t="str">
        <f>IF(A65=$D$8,XIRR(S$34:S65,C$34:C65),"")</f>
        <v/>
      </c>
      <c r="R66" s="12" t="str">
        <f t="shared" si="6"/>
        <v/>
      </c>
      <c r="S66" s="115">
        <f t="shared" ca="1" si="4"/>
        <v>25421.603679988366</v>
      </c>
    </row>
    <row r="67" spans="1:19" x14ac:dyDescent="0.35">
      <c r="A67" s="10">
        <f t="shared" si="5"/>
        <v>33</v>
      </c>
      <c r="B67" s="49">
        <f ca="1">EDATE($B$34,33)</f>
        <v>45231</v>
      </c>
      <c r="C67" s="11">
        <f t="shared" ca="1" si="28"/>
        <v>45231</v>
      </c>
      <c r="D67" s="10">
        <f t="shared" ca="1" si="20"/>
        <v>31</v>
      </c>
      <c r="E67" s="12">
        <f t="shared" ca="1" si="19"/>
        <v>555923.78622061841</v>
      </c>
      <c r="F67" s="12">
        <f ca="1">IF(AND(A66="",A68=""),"",IF(A67="",SUM($F$35:F66),IF(A67=$D$8,$E$34-SUM($F$35:F66),$F$22-G67)))</f>
        <v>16194.202615658829</v>
      </c>
      <c r="G67" s="12">
        <f ca="1">IF(A66=$D$8,SUM($G$35:G66),IF(A66&gt;$D$8,"",E66*D67*$D$9/IF(OR(YEAR(C67)=2020,YEAR(C67)=2024),366,365)))</f>
        <v>9227.4010643295369</v>
      </c>
      <c r="H67" s="12">
        <f ca="1">IF(A66=$D$8,SUM($H$35:H66),IF(A66="","",(G67+F67)))</f>
        <v>25421.603679988366</v>
      </c>
      <c r="I67" s="12" t="str">
        <f t="shared" si="22"/>
        <v/>
      </c>
      <c r="J67" s="12" t="str">
        <f t="shared" si="23"/>
        <v/>
      </c>
      <c r="K67" s="12" t="str">
        <f t="shared" si="24"/>
        <v/>
      </c>
      <c r="L67" s="12" t="str">
        <f t="shared" si="25"/>
        <v/>
      </c>
      <c r="M67" s="12" t="str">
        <f t="shared" si="21"/>
        <v/>
      </c>
      <c r="N67" s="12" t="str">
        <f t="shared" si="26"/>
        <v/>
      </c>
      <c r="O67" s="12" t="str">
        <f t="shared" si="27"/>
        <v/>
      </c>
      <c r="P67" s="12"/>
      <c r="Q67" s="51" t="str">
        <f>IF(A66=$D$8,XIRR(S$34:S66,C$34:C66),"")</f>
        <v/>
      </c>
      <c r="R67" s="12" t="str">
        <f t="shared" si="6"/>
        <v/>
      </c>
      <c r="S67" s="115">
        <f t="shared" ca="1" si="4"/>
        <v>25421.603679988366</v>
      </c>
    </row>
    <row r="68" spans="1:19" x14ac:dyDescent="0.35">
      <c r="A68" s="10">
        <f t="shared" si="5"/>
        <v>34</v>
      </c>
      <c r="B68" s="49">
        <f ca="1">EDATE($B$34,34)</f>
        <v>45261</v>
      </c>
      <c r="C68" s="11">
        <f t="shared" ca="1" si="28"/>
        <v>45261</v>
      </c>
      <c r="D68" s="10">
        <f t="shared" ca="1" si="20"/>
        <v>30</v>
      </c>
      <c r="E68" s="12">
        <f t="shared" ca="1" si="19"/>
        <v>539179.1628422708</v>
      </c>
      <c r="F68" s="12">
        <f ca="1">IF(AND(A67="",A69=""),"",IF(A68="",SUM($F$35:F67),IF(A68=$D$8,$E$34-SUM($F$35:F67),$F$22-G68)))</f>
        <v>16744.623378347645</v>
      </c>
      <c r="G68" s="12">
        <f ca="1">IF(A67=$D$8,SUM($G$35:G67),IF(A67&gt;$D$8,"",E67*D68*$D$9/IF(OR(YEAR(C68)=2020,YEAR(C68)=2024),366,365)))</f>
        <v>8676.9803016407204</v>
      </c>
      <c r="H68" s="12">
        <f ca="1">IF(A67=$D$8,SUM($H$35:H67),IF(A67="","",(G68+F68)))</f>
        <v>25421.603679988366</v>
      </c>
      <c r="I68" s="12" t="str">
        <f t="shared" si="22"/>
        <v/>
      </c>
      <c r="J68" s="12" t="str">
        <f t="shared" si="23"/>
        <v/>
      </c>
      <c r="K68" s="12" t="str">
        <f t="shared" si="24"/>
        <v/>
      </c>
      <c r="L68" s="12" t="str">
        <f t="shared" si="25"/>
        <v/>
      </c>
      <c r="M68" s="12" t="str">
        <f t="shared" si="21"/>
        <v/>
      </c>
      <c r="N68" s="12" t="str">
        <f t="shared" si="26"/>
        <v/>
      </c>
      <c r="O68" s="12" t="str">
        <f t="shared" si="27"/>
        <v/>
      </c>
      <c r="P68" s="12"/>
      <c r="Q68" s="51" t="str">
        <f>IF(A67=$D$8,XIRR(S$34:S67,C$34:C67),"")</f>
        <v/>
      </c>
      <c r="R68" s="12" t="str">
        <f t="shared" si="6"/>
        <v/>
      </c>
      <c r="S68" s="115">
        <f t="shared" ca="1" si="4"/>
        <v>25421.603679988366</v>
      </c>
    </row>
    <row r="69" spans="1:19" x14ac:dyDescent="0.35">
      <c r="A69" s="10">
        <f t="shared" si="5"/>
        <v>35</v>
      </c>
      <c r="B69" s="49">
        <f ca="1">EDATE($B$34,35)</f>
        <v>45292</v>
      </c>
      <c r="C69" s="11">
        <f t="shared" ca="1" si="28"/>
        <v>45292</v>
      </c>
      <c r="D69" s="10">
        <f t="shared" ca="1" si="20"/>
        <v>31</v>
      </c>
      <c r="E69" s="12">
        <f t="shared" ca="1" si="19"/>
        <v>522429.9466315069</v>
      </c>
      <c r="F69" s="12">
        <f ca="1">IF(AND(A68="",A70=""),"",IF(A69="",SUM($F$35:F68),IF(A69=$D$8,$E$34-SUM($F$35:F68),$F$22-G69)))</f>
        <v>16749.216210763872</v>
      </c>
      <c r="G69" s="12">
        <f ca="1">IF(A68=$D$8,SUM($G$35:G68),IF(A68&gt;$D$8,"",E68*D69*$D$9/IF(OR(YEAR(C69)=2020,YEAR(C69)=2024),366,365)))</f>
        <v>8672.3874692244935</v>
      </c>
      <c r="H69" s="12">
        <f ca="1">IF(A68=$D$8,SUM($H$35:H68),IF(A68="","",(G69+F69)))</f>
        <v>25421.603679988366</v>
      </c>
      <c r="I69" s="12" t="str">
        <f t="shared" si="22"/>
        <v/>
      </c>
      <c r="J69" s="12" t="str">
        <f t="shared" si="23"/>
        <v/>
      </c>
      <c r="K69" s="12" t="str">
        <f t="shared" si="24"/>
        <v/>
      </c>
      <c r="L69" s="12" t="str">
        <f t="shared" si="25"/>
        <v/>
      </c>
      <c r="M69" s="12" t="str">
        <f t="shared" si="21"/>
        <v/>
      </c>
      <c r="N69" s="12" t="str">
        <f t="shared" si="26"/>
        <v/>
      </c>
      <c r="O69" s="12" t="str">
        <f t="shared" si="27"/>
        <v/>
      </c>
      <c r="P69" s="12"/>
      <c r="Q69" s="51" t="str">
        <f>IF(A68=$D$8,XIRR(S$34:S68,C$34:C68),"")</f>
        <v/>
      </c>
      <c r="R69" s="12" t="str">
        <f t="shared" si="6"/>
        <v/>
      </c>
      <c r="S69" s="115">
        <f t="shared" ca="1" si="4"/>
        <v>25421.603679988366</v>
      </c>
    </row>
    <row r="70" spans="1:19" x14ac:dyDescent="0.35">
      <c r="A70" s="10">
        <f t="shared" si="5"/>
        <v>36</v>
      </c>
      <c r="B70" s="49">
        <f ca="1">EDATE($B$34,36)</f>
        <v>45323</v>
      </c>
      <c r="C70" s="11">
        <f t="shared" ca="1" si="28"/>
        <v>45323</v>
      </c>
      <c r="D70" s="10">
        <f t="shared" ca="1" si="20"/>
        <v>31</v>
      </c>
      <c r="E70" s="12">
        <f t="shared" ca="1" si="19"/>
        <v>505411.32888819894</v>
      </c>
      <c r="F70" s="12">
        <f ca="1">IF(AND(A69="",A71=""),"",IF(A70="",SUM($F$35:F69),IF(A70=$D$8,$E$34-SUM($F$35:F69),$F$22-G70)))</f>
        <v>17018.617743307987</v>
      </c>
      <c r="G70" s="12">
        <f ca="1">IF(A69=$D$8,SUM($G$35:G69),IF(A69&gt;$D$8,"",E69*D70*$D$9/IF(OR(YEAR(C70)=2020,YEAR(C70)=2024),366,365)))</f>
        <v>8402.9859366803776</v>
      </c>
      <c r="H70" s="12">
        <f ca="1">IF(A69=$D$8,SUM($H$35:H69),IF(A69="","",(G70+F70)))</f>
        <v>25421.603679988366</v>
      </c>
      <c r="I70" s="12" t="str">
        <f t="shared" si="22"/>
        <v/>
      </c>
      <c r="J70" s="12" t="str">
        <f t="shared" si="23"/>
        <v/>
      </c>
      <c r="K70" s="12" t="str">
        <f t="shared" si="24"/>
        <v/>
      </c>
      <c r="L70" s="12" t="str">
        <f t="shared" si="25"/>
        <v/>
      </c>
      <c r="M70" s="12" t="str">
        <f t="shared" si="21"/>
        <v/>
      </c>
      <c r="N70" s="12" t="str">
        <f t="shared" si="26"/>
        <v/>
      </c>
      <c r="O70" s="12" t="str">
        <f t="shared" si="27"/>
        <v/>
      </c>
      <c r="P70" s="12"/>
      <c r="Q70" s="51" t="str">
        <f>IF(A69=$D$8,XIRR(S$34:S69,C$34:C69),"")</f>
        <v/>
      </c>
      <c r="R70" s="12" t="str">
        <f t="shared" si="6"/>
        <v/>
      </c>
      <c r="S70" s="115">
        <f t="shared" ca="1" si="4"/>
        <v>25421.603679988366</v>
      </c>
    </row>
    <row r="71" spans="1:19" x14ac:dyDescent="0.35">
      <c r="A71" s="10">
        <f t="shared" si="5"/>
        <v>37</v>
      </c>
      <c r="B71" s="49">
        <f ca="1">EDATE($B$34,37)</f>
        <v>45352</v>
      </c>
      <c r="C71" s="11">
        <f t="shared" ca="1" si="28"/>
        <v>45352</v>
      </c>
      <c r="D71" s="10">
        <f t="shared" ca="1" si="20"/>
        <v>29</v>
      </c>
      <c r="E71" s="12">
        <f t="shared" ca="1" si="19"/>
        <v>487594.50862165377</v>
      </c>
      <c r="F71" s="12">
        <f ca="1">IF(AND(A70="",A72=""),"",IF(A71="",SUM($F$35:F70),IF(A71=$D$8,$E$34-SUM($F$35:F70),$F$22-G71)))</f>
        <v>17816.820266545194</v>
      </c>
      <c r="G71" s="12">
        <f ca="1">IF(A70=$D$8,SUM($G$35:G70),IF(A70&gt;$D$8,"",E70*D71*$D$9/IF(OR(YEAR(C71)=2020,YEAR(C71)=2024),366,365)))</f>
        <v>7604.7834134431714</v>
      </c>
      <c r="H71" s="12">
        <f ca="1">IF(A70=$D$8,SUM($H$35:H70),IF(A70="","",(G71+F71)))</f>
        <v>25421.603679988366</v>
      </c>
      <c r="I71" s="12" t="str">
        <f t="shared" si="22"/>
        <v/>
      </c>
      <c r="J71" s="12" t="str">
        <f t="shared" si="23"/>
        <v/>
      </c>
      <c r="K71" s="12" t="str">
        <f t="shared" si="24"/>
        <v/>
      </c>
      <c r="L71" s="12" t="str">
        <f t="shared" si="25"/>
        <v/>
      </c>
      <c r="M71" s="12" t="str">
        <f t="shared" si="21"/>
        <v/>
      </c>
      <c r="N71" s="12" t="str">
        <f t="shared" si="26"/>
        <v/>
      </c>
      <c r="O71" s="12">
        <f>IF($F$8&gt;36,($P$17),IF($A$70=$F$8,O59+O47+O34,""))</f>
        <v>2500</v>
      </c>
      <c r="P71" s="12"/>
      <c r="Q71" s="51" t="str">
        <f>IF(A70=$D$8,XIRR(S$34:S70,C$34:C70),"")</f>
        <v/>
      </c>
      <c r="R71" s="12" t="str">
        <f t="shared" si="6"/>
        <v/>
      </c>
      <c r="S71" s="115">
        <f t="shared" ca="1" si="4"/>
        <v>27921.603679988366</v>
      </c>
    </row>
    <row r="72" spans="1:19" x14ac:dyDescent="0.35">
      <c r="A72" s="10">
        <f t="shared" si="5"/>
        <v>38</v>
      </c>
      <c r="B72" s="49">
        <f ca="1">EDATE($B$34,38)</f>
        <v>45383</v>
      </c>
      <c r="C72" s="11">
        <f t="shared" ca="1" si="28"/>
        <v>45383</v>
      </c>
      <c r="D72" s="10">
        <f t="shared" ca="1" si="20"/>
        <v>31</v>
      </c>
      <c r="E72" s="12">
        <f t="shared" ca="1" si="19"/>
        <v>470015.5828455037</v>
      </c>
      <c r="F72" s="12">
        <f ca="1">IF(AND(A71="",A73=""),"",IF(A72="",SUM($F$35:F71),IF(A72=$D$8,$E$34-SUM($F$35:F71),$F$22-G72)))</f>
        <v>17578.925776150078</v>
      </c>
      <c r="G72" s="12">
        <f ca="1">IF(A71=$D$8,SUM($G$35:G71),IF(A71&gt;$D$8,"",E71*D72*$D$9/IF(OR(YEAR(C72)=2020,YEAR(C72)=2024),366,365)))</f>
        <v>7842.6779038382892</v>
      </c>
      <c r="H72" s="12">
        <f ca="1">IF(A71=$D$8,SUM($H$35:H71),IF(A71="","",(G72+F72)))</f>
        <v>25421.603679988366</v>
      </c>
      <c r="I72" s="12" t="str">
        <f t="shared" si="22"/>
        <v/>
      </c>
      <c r="J72" s="12" t="str">
        <f t="shared" si="23"/>
        <v/>
      </c>
      <c r="K72" s="12" t="str">
        <f t="shared" si="24"/>
        <v/>
      </c>
      <c r="L72" s="12" t="str">
        <f t="shared" si="25"/>
        <v/>
      </c>
      <c r="M72" s="12" t="str">
        <f t="shared" si="21"/>
        <v/>
      </c>
      <c r="N72" s="12" t="str">
        <f t="shared" si="26"/>
        <v/>
      </c>
      <c r="O72" s="12" t="str">
        <f t="shared" si="27"/>
        <v/>
      </c>
      <c r="P72" s="12"/>
      <c r="Q72" s="51" t="str">
        <f>IF(A71=$D$8,XIRR(S$34:S71,C$34:C71),"")</f>
        <v/>
      </c>
      <c r="R72" s="12" t="str">
        <f t="shared" si="6"/>
        <v/>
      </c>
      <c r="S72" s="115">
        <f t="shared" ca="1" si="4"/>
        <v>25421.603679988366</v>
      </c>
    </row>
    <row r="73" spans="1:19" x14ac:dyDescent="0.35">
      <c r="A73" s="10">
        <f t="shared" si="5"/>
        <v>39</v>
      </c>
      <c r="B73" s="49">
        <f ca="1">EDATE($B$34,39)</f>
        <v>45413</v>
      </c>
      <c r="C73" s="11">
        <f t="shared" ca="1" si="28"/>
        <v>45413</v>
      </c>
      <c r="D73" s="10">
        <f t="shared" ca="1" si="20"/>
        <v>30</v>
      </c>
      <c r="E73" s="12">
        <f t="shared" ca="1" si="19"/>
        <v>451910.0413935777</v>
      </c>
      <c r="F73" s="12">
        <f ca="1">IF(AND(A72="",A74=""),"",IF(A73="",SUM($F$35:F72),IF(A73=$D$8,$E$34-SUM($F$35:F72),$F$22-G73)))</f>
        <v>18105.541451925976</v>
      </c>
      <c r="G73" s="12">
        <f ca="1">IF(A72=$D$8,SUM($G$35:G72),IF(A72&gt;$D$8,"",E72*D73*$D$9/IF(OR(YEAR(C73)=2020,YEAR(C73)=2024),366,365)))</f>
        <v>7316.0622280623902</v>
      </c>
      <c r="H73" s="12">
        <f ca="1">IF(A72=$D$8,SUM($H$35:H72),IF(A72="","",(G73+F73)))</f>
        <v>25421.603679988366</v>
      </c>
      <c r="I73" s="12" t="str">
        <f t="shared" si="22"/>
        <v/>
      </c>
      <c r="J73" s="12" t="str">
        <f t="shared" si="23"/>
        <v/>
      </c>
      <c r="K73" s="12" t="str">
        <f t="shared" si="24"/>
        <v/>
      </c>
      <c r="L73" s="12" t="str">
        <f t="shared" si="25"/>
        <v/>
      </c>
      <c r="M73" s="12" t="str">
        <f t="shared" si="21"/>
        <v/>
      </c>
      <c r="N73" s="12" t="str">
        <f t="shared" si="26"/>
        <v/>
      </c>
      <c r="O73" s="12" t="str">
        <f t="shared" si="27"/>
        <v/>
      </c>
      <c r="P73" s="12"/>
      <c r="Q73" s="51" t="str">
        <f>IF(A72=$D$8,XIRR(S$34:S72,C$34:C72),"")</f>
        <v/>
      </c>
      <c r="R73" s="12" t="str">
        <f t="shared" si="6"/>
        <v/>
      </c>
      <c r="S73" s="115">
        <f t="shared" ca="1" si="4"/>
        <v>25421.603679988366</v>
      </c>
    </row>
    <row r="74" spans="1:19" x14ac:dyDescent="0.35">
      <c r="A74" s="10">
        <f t="shared" si="5"/>
        <v>40</v>
      </c>
      <c r="B74" s="49">
        <f ca="1">EDATE($B$34,40)</f>
        <v>45444</v>
      </c>
      <c r="C74" s="11">
        <f t="shared" ca="1" si="28"/>
        <v>45444</v>
      </c>
      <c r="D74" s="10">
        <f t="shared" ca="1" si="20"/>
        <v>31</v>
      </c>
      <c r="E74" s="12">
        <f t="shared" ca="1" si="19"/>
        <v>433757.15143675834</v>
      </c>
      <c r="F74" s="12">
        <f ca="1">IF(AND(A73="",A75=""),"",IF(A74="",SUM($F$35:F73),IF(A74=$D$8,$E$34-SUM($F$35:F73),$F$22-G74)))</f>
        <v>18152.88995681937</v>
      </c>
      <c r="G74" s="12">
        <f ca="1">IF(A73=$D$8,SUM($G$35:G73),IF(A73&gt;$D$8,"",E73*D74*$D$9/IF(OR(YEAR(C74)=2020,YEAR(C74)=2024),366,365)))</f>
        <v>7268.7137231689958</v>
      </c>
      <c r="H74" s="12">
        <f ca="1">IF(A73=$D$8,SUM($H$35:H73),IF(A73="","",(G74+F74)))</f>
        <v>25421.603679988366</v>
      </c>
      <c r="I74" s="12" t="str">
        <f t="shared" si="22"/>
        <v/>
      </c>
      <c r="J74" s="12" t="str">
        <f t="shared" si="23"/>
        <v/>
      </c>
      <c r="K74" s="12" t="str">
        <f t="shared" si="24"/>
        <v/>
      </c>
      <c r="L74" s="12" t="str">
        <f t="shared" si="25"/>
        <v/>
      </c>
      <c r="M74" s="12" t="str">
        <f t="shared" si="21"/>
        <v/>
      </c>
      <c r="N74" s="12" t="str">
        <f t="shared" si="26"/>
        <v/>
      </c>
      <c r="O74" s="12" t="str">
        <f t="shared" si="27"/>
        <v/>
      </c>
      <c r="P74" s="12"/>
      <c r="Q74" s="51" t="str">
        <f>IF(A73=$D$8,XIRR(S$34:S73,C$34:C73),"")</f>
        <v/>
      </c>
      <c r="R74" s="12" t="str">
        <f t="shared" si="6"/>
        <v/>
      </c>
      <c r="S74" s="115">
        <f t="shared" ca="1" si="4"/>
        <v>25421.603679988366</v>
      </c>
    </row>
    <row r="75" spans="1:19" x14ac:dyDescent="0.35">
      <c r="A75" s="10">
        <f t="shared" si="5"/>
        <v>41</v>
      </c>
      <c r="B75" s="49">
        <f ca="1">EDATE($B$34,41)</f>
        <v>45474</v>
      </c>
      <c r="C75" s="11">
        <f t="shared" ca="1" si="28"/>
        <v>45474</v>
      </c>
      <c r="D75" s="10">
        <f t="shared" ca="1" si="20"/>
        <v>30</v>
      </c>
      <c r="E75" s="12">
        <f t="shared" ca="1" si="19"/>
        <v>415087.22669593722</v>
      </c>
      <c r="F75" s="12">
        <f ca="1">IF(AND(A74="",A76=""),"",IF(A75="",SUM($F$35:F74),IF(A75=$D$8,$E$34-SUM($F$35:F74),$F$22-G75)))</f>
        <v>18669.924740821119</v>
      </c>
      <c r="G75" s="12">
        <f ca="1">IF(A74=$D$8,SUM($G$35:G74),IF(A74&gt;$D$8,"",E74*D75*$D$9/IF(OR(YEAR(C75)=2020,YEAR(C75)=2024),366,365)))</f>
        <v>6751.6789391672473</v>
      </c>
      <c r="H75" s="12">
        <f ca="1">IF(A74=$D$8,SUM($H$35:H74),IF(A74="","",(G75+F75)))</f>
        <v>25421.603679988366</v>
      </c>
      <c r="I75" s="12" t="str">
        <f t="shared" si="22"/>
        <v/>
      </c>
      <c r="J75" s="12" t="str">
        <f t="shared" si="23"/>
        <v/>
      </c>
      <c r="K75" s="12" t="str">
        <f t="shared" si="24"/>
        <v/>
      </c>
      <c r="L75" s="12" t="str">
        <f t="shared" si="25"/>
        <v/>
      </c>
      <c r="M75" s="12" t="str">
        <f t="shared" si="21"/>
        <v/>
      </c>
      <c r="N75" s="12" t="str">
        <f t="shared" si="26"/>
        <v/>
      </c>
      <c r="O75" s="12" t="str">
        <f t="shared" si="27"/>
        <v/>
      </c>
      <c r="P75" s="12"/>
      <c r="Q75" s="51" t="str">
        <f>IF(A74=$D$8,XIRR(S$34:S74,C$34:C74),"")</f>
        <v/>
      </c>
      <c r="R75" s="12" t="str">
        <f t="shared" si="6"/>
        <v/>
      </c>
      <c r="S75" s="115">
        <f t="shared" ca="1" si="4"/>
        <v>25421.603679988366</v>
      </c>
    </row>
    <row r="76" spans="1:19" x14ac:dyDescent="0.35">
      <c r="A76" s="10">
        <f t="shared" si="5"/>
        <v>42</v>
      </c>
      <c r="B76" s="49">
        <f ca="1">EDATE($B$34,42)</f>
        <v>45505</v>
      </c>
      <c r="C76" s="11">
        <f t="shared" ca="1" si="28"/>
        <v>45505</v>
      </c>
      <c r="D76" s="10">
        <f t="shared" ca="1" si="20"/>
        <v>31</v>
      </c>
      <c r="E76" s="12">
        <f t="shared" ca="1" si="19"/>
        <v>396342.06289255078</v>
      </c>
      <c r="F76" s="12">
        <f ca="1">IF(AND(A75="",A77=""),"",IF(A76="",SUM($F$35:F75),IF(A76=$D$8,$E$34-SUM($F$35:F75),$F$22-G76)))</f>
        <v>18745.163803386418</v>
      </c>
      <c r="G76" s="12">
        <f ca="1">IF(A75=$D$8,SUM($G$35:G75),IF(A75&gt;$D$8,"",E75*D76*$D$9/IF(OR(YEAR(C76)=2020,YEAR(C76)=2024),366,365)))</f>
        <v>6676.4398766019476</v>
      </c>
      <c r="H76" s="12">
        <f ca="1">IF(A75=$D$8,SUM($H$35:H75),IF(A75="","",(G76+F76)))</f>
        <v>25421.603679988366</v>
      </c>
      <c r="I76" s="12" t="str">
        <f t="shared" si="22"/>
        <v/>
      </c>
      <c r="J76" s="12" t="str">
        <f t="shared" si="23"/>
        <v/>
      </c>
      <c r="K76" s="12" t="str">
        <f t="shared" si="24"/>
        <v/>
      </c>
      <c r="L76" s="12" t="str">
        <f t="shared" si="25"/>
        <v/>
      </c>
      <c r="M76" s="12" t="str">
        <f t="shared" si="21"/>
        <v/>
      </c>
      <c r="N76" s="12" t="str">
        <f t="shared" si="26"/>
        <v/>
      </c>
      <c r="O76" s="12" t="str">
        <f t="shared" si="27"/>
        <v/>
      </c>
      <c r="P76" s="12"/>
      <c r="Q76" s="51" t="str">
        <f>IF(A75=$D$8,XIRR(S$34:S75,C$34:C75),"")</f>
        <v/>
      </c>
      <c r="R76" s="12" t="str">
        <f t="shared" si="6"/>
        <v/>
      </c>
      <c r="S76" s="115">
        <f t="shared" ca="1" si="4"/>
        <v>25421.603679988366</v>
      </c>
    </row>
    <row r="77" spans="1:19" x14ac:dyDescent="0.35">
      <c r="A77" s="10">
        <f t="shared" si="5"/>
        <v>43</v>
      </c>
      <c r="B77" s="49">
        <f ca="1">EDATE($B$34,43)</f>
        <v>45536</v>
      </c>
      <c r="C77" s="11">
        <f t="shared" ca="1" si="28"/>
        <v>45536</v>
      </c>
      <c r="D77" s="10">
        <f t="shared" ca="1" si="20"/>
        <v>31</v>
      </c>
      <c r="E77" s="12">
        <f t="shared" ca="1" si="19"/>
        <v>377295.39388480876</v>
      </c>
      <c r="F77" s="12">
        <f ca="1">IF(AND(A76="",A78=""),"",IF(A77="",SUM($F$35:F76),IF(A77=$D$8,$E$34-SUM($F$35:F76),$F$22-G77)))</f>
        <v>19046.669007742035</v>
      </c>
      <c r="G77" s="12">
        <f ca="1">IF(A76=$D$8,SUM($G$35:G76),IF(A76&gt;$D$8,"",E76*D77*$D$9/IF(OR(YEAR(C77)=2020,YEAR(C77)=2024),366,365)))</f>
        <v>6374.9346722463324</v>
      </c>
      <c r="H77" s="12">
        <f ca="1">IF(A76=$D$8,SUM($H$35:H76),IF(A76="","",(G77+F77)))</f>
        <v>25421.603679988366</v>
      </c>
      <c r="I77" s="12" t="str">
        <f t="shared" si="22"/>
        <v/>
      </c>
      <c r="J77" s="12" t="str">
        <f t="shared" si="23"/>
        <v/>
      </c>
      <c r="K77" s="12" t="str">
        <f t="shared" si="24"/>
        <v/>
      </c>
      <c r="L77" s="12" t="str">
        <f t="shared" si="25"/>
        <v/>
      </c>
      <c r="M77" s="12" t="str">
        <f t="shared" si="21"/>
        <v/>
      </c>
      <c r="N77" s="12" t="str">
        <f t="shared" si="26"/>
        <v/>
      </c>
      <c r="O77" s="12" t="str">
        <f t="shared" si="27"/>
        <v/>
      </c>
      <c r="P77" s="12"/>
      <c r="Q77" s="51" t="str">
        <f>IF(A76=$D$8,XIRR(S$34:S76,C$34:C76),"")</f>
        <v/>
      </c>
      <c r="R77" s="12" t="str">
        <f t="shared" si="6"/>
        <v/>
      </c>
      <c r="S77" s="115">
        <f t="shared" ca="1" si="4"/>
        <v>25421.603679988366</v>
      </c>
    </row>
    <row r="78" spans="1:19" x14ac:dyDescent="0.35">
      <c r="A78" s="10">
        <f t="shared" si="5"/>
        <v>44</v>
      </c>
      <c r="B78" s="49">
        <f ca="1">EDATE($B$34,44)</f>
        <v>45566</v>
      </c>
      <c r="C78" s="11">
        <f t="shared" ca="1" si="28"/>
        <v>45566</v>
      </c>
      <c r="D78" s="10">
        <f t="shared" ca="1" si="20"/>
        <v>30</v>
      </c>
      <c r="E78" s="12">
        <f t="shared" ca="1" si="19"/>
        <v>357746.60949160112</v>
      </c>
      <c r="F78" s="12">
        <f ca="1">IF(AND(A77="",A79=""),"",IF(A78="",SUM($F$35:F77),IF(A78=$D$8,$E$34-SUM($F$35:F77),$F$22-G78)))</f>
        <v>19548.784393207614</v>
      </c>
      <c r="G78" s="12">
        <f ca="1">IF(A77=$D$8,SUM($G$35:G77),IF(A77&gt;$D$8,"",E77*D78*$D$9/IF(OR(YEAR(C78)=2020,YEAR(C78)=2024),366,365)))</f>
        <v>5872.8192867807529</v>
      </c>
      <c r="H78" s="12">
        <f ca="1">IF(A77=$D$8,SUM($H$35:H77),IF(A77="","",(G78+F78)))</f>
        <v>25421.603679988366</v>
      </c>
      <c r="I78" s="12" t="str">
        <f t="shared" si="22"/>
        <v/>
      </c>
      <c r="J78" s="12" t="str">
        <f t="shared" si="23"/>
        <v/>
      </c>
      <c r="K78" s="12" t="str">
        <f t="shared" si="24"/>
        <v/>
      </c>
      <c r="L78" s="12" t="str">
        <f t="shared" si="25"/>
        <v/>
      </c>
      <c r="M78" s="12" t="str">
        <f t="shared" si="21"/>
        <v/>
      </c>
      <c r="N78" s="12" t="str">
        <f t="shared" si="26"/>
        <v/>
      </c>
      <c r="O78" s="12" t="str">
        <f t="shared" si="27"/>
        <v/>
      </c>
      <c r="P78" s="12"/>
      <c r="Q78" s="51" t="str">
        <f>IF(A77=$D$8,XIRR(S$34:S77,C$34:C77),"")</f>
        <v/>
      </c>
      <c r="R78" s="12" t="str">
        <f t="shared" si="6"/>
        <v/>
      </c>
      <c r="S78" s="115">
        <f t="shared" ca="1" si="4"/>
        <v>25421.603679988366</v>
      </c>
    </row>
    <row r="79" spans="1:19" x14ac:dyDescent="0.35">
      <c r="A79" s="10">
        <f t="shared" si="5"/>
        <v>45</v>
      </c>
      <c r="B79" s="49">
        <f ca="1">EDATE($B$34,45)</f>
        <v>45597</v>
      </c>
      <c r="C79" s="11">
        <f t="shared" ca="1" si="28"/>
        <v>45597</v>
      </c>
      <c r="D79" s="10">
        <f t="shared" ca="1" si="20"/>
        <v>31</v>
      </c>
      <c r="E79" s="12">
        <f t="shared" ref="E79:E110" ca="1" si="29">IF(A79&gt;$D$8,"",E78-F79)</f>
        <v>338079.15476083709</v>
      </c>
      <c r="F79" s="12">
        <f ca="1">IF(AND(A78="",A80=""),"",IF(A79="",SUM($F$35:F78),IF(A79=$D$8,$E$34-SUM($F$35:F78),$F$22-G79)))</f>
        <v>19667.454730764031</v>
      </c>
      <c r="G79" s="12">
        <f ca="1">IF(A78=$D$8,SUM($G$35:G78),IF(A78&gt;$D$8,"",E78*D79*$D$9/IF(OR(YEAR(C79)=2020,YEAR(C79)=2024),366,365)))</f>
        <v>5754.1489492243354</v>
      </c>
      <c r="H79" s="12">
        <f ca="1">IF(A78=$D$8,SUM($H$35:H78),IF(A78="","",(G79+F79)))</f>
        <v>25421.603679988366</v>
      </c>
      <c r="I79" s="12" t="str">
        <f t="shared" si="22"/>
        <v/>
      </c>
      <c r="J79" s="12" t="str">
        <f t="shared" si="23"/>
        <v/>
      </c>
      <c r="K79" s="12" t="str">
        <f t="shared" si="24"/>
        <v/>
      </c>
      <c r="L79" s="12" t="str">
        <f t="shared" si="25"/>
        <v/>
      </c>
      <c r="M79" s="12" t="str">
        <f t="shared" si="21"/>
        <v/>
      </c>
      <c r="N79" s="12" t="str">
        <f t="shared" si="26"/>
        <v/>
      </c>
      <c r="O79" s="12" t="str">
        <f t="shared" si="27"/>
        <v/>
      </c>
      <c r="P79" s="12"/>
      <c r="Q79" s="51" t="str">
        <f>IF(A78=$D$8,XIRR(S$34:S78,C$34:C78),"")</f>
        <v/>
      </c>
      <c r="R79" s="12" t="str">
        <f t="shared" si="6"/>
        <v/>
      </c>
      <c r="S79" s="115">
        <f t="shared" ca="1" si="4"/>
        <v>25421.603679988366</v>
      </c>
    </row>
    <row r="80" spans="1:19" x14ac:dyDescent="0.35">
      <c r="A80" s="10">
        <f t="shared" si="5"/>
        <v>46</v>
      </c>
      <c r="B80" s="49">
        <f ca="1">EDATE($B$34,46)</f>
        <v>45627</v>
      </c>
      <c r="C80" s="11">
        <f t="shared" ca="1" si="28"/>
        <v>45627</v>
      </c>
      <c r="D80" s="10">
        <f t="shared" ca="1" si="20"/>
        <v>30</v>
      </c>
      <c r="E80" s="12">
        <f t="shared" ca="1" si="29"/>
        <v>317919.94710454403</v>
      </c>
      <c r="F80" s="12">
        <f ca="1">IF(AND(A79="",A81=""),"",IF(A80="",SUM($F$35:F79),IF(A80=$D$8,$E$34-SUM($F$35:F79),$F$22-G80)))</f>
        <v>20159.207656293042</v>
      </c>
      <c r="G80" s="12">
        <f ca="1">IF(A79=$D$8,SUM($G$35:G79),IF(A79&gt;$D$8,"",E79*D80*$D$9/IF(OR(YEAR(C80)=2020,YEAR(C80)=2024),366,365)))</f>
        <v>5262.3960236953244</v>
      </c>
      <c r="H80" s="12">
        <f ca="1">IF(A79=$D$8,SUM($H$35:H79),IF(A79="","",(G80+F80)))</f>
        <v>25421.603679988366</v>
      </c>
      <c r="I80" s="12" t="str">
        <f t="shared" si="22"/>
        <v/>
      </c>
      <c r="J80" s="12" t="str">
        <f t="shared" si="23"/>
        <v/>
      </c>
      <c r="K80" s="12" t="str">
        <f t="shared" si="24"/>
        <v/>
      </c>
      <c r="L80" s="12" t="str">
        <f t="shared" si="25"/>
        <v/>
      </c>
      <c r="M80" s="12" t="str">
        <f t="shared" ref="M80:M111" si="30">IF(A79=$F$8,$M$34,"")</f>
        <v/>
      </c>
      <c r="N80" s="12" t="str">
        <f t="shared" si="26"/>
        <v/>
      </c>
      <c r="O80" s="12" t="str">
        <f t="shared" si="27"/>
        <v/>
      </c>
      <c r="P80" s="12"/>
      <c r="Q80" s="51" t="str">
        <f>IF(A79=$D$8,XIRR(S$34:S79,C$34:C79),"")</f>
        <v/>
      </c>
      <c r="R80" s="12" t="str">
        <f t="shared" si="6"/>
        <v/>
      </c>
      <c r="S80" s="115">
        <f t="shared" ca="1" si="4"/>
        <v>25421.603679988366</v>
      </c>
    </row>
    <row r="81" spans="1:21" x14ac:dyDescent="0.35">
      <c r="A81" s="10">
        <f t="shared" si="5"/>
        <v>47</v>
      </c>
      <c r="B81" s="49">
        <f ca="1">EDATE($B$34,47)</f>
        <v>45658</v>
      </c>
      <c r="C81" s="11">
        <f t="shared" ca="1" si="28"/>
        <v>45658</v>
      </c>
      <c r="D81" s="10">
        <f t="shared" ca="1" si="20"/>
        <v>31</v>
      </c>
      <c r="E81" s="12">
        <f t="shared" ca="1" si="29"/>
        <v>297625.91311389743</v>
      </c>
      <c r="F81" s="12">
        <f ca="1">IF(AND(A80="",A82=""),"",IF(A81="",SUM($F$35:F80),IF(A81=$D$8,$E$34-SUM($F$35:F80),$F$22-G81)))</f>
        <v>20294.033990646611</v>
      </c>
      <c r="G81" s="12">
        <f ca="1">IF(A80=$D$8,SUM($G$35:G80),IF(A80&gt;$D$8,"",E80*D81*$D$9/IF(OR(YEAR(C81)=2020,YEAR(C81)=2024),366,365)))</f>
        <v>5127.5696893417553</v>
      </c>
      <c r="H81" s="12">
        <f ca="1">IF(A80=$D$8,SUM($H$35:H80),IF(A80="","",(G81+F81)))</f>
        <v>25421.603679988366</v>
      </c>
      <c r="I81" s="12" t="str">
        <f t="shared" si="22"/>
        <v/>
      </c>
      <c r="J81" s="12" t="str">
        <f t="shared" si="23"/>
        <v/>
      </c>
      <c r="K81" s="12" t="str">
        <f t="shared" si="24"/>
        <v/>
      </c>
      <c r="L81" s="12" t="str">
        <f t="shared" si="25"/>
        <v/>
      </c>
      <c r="M81" s="12" t="str">
        <f t="shared" si="30"/>
        <v/>
      </c>
      <c r="N81" s="12" t="str">
        <f t="shared" si="26"/>
        <v/>
      </c>
      <c r="O81" s="12" t="str">
        <f t="shared" si="27"/>
        <v/>
      </c>
      <c r="P81" s="12"/>
      <c r="Q81" s="51" t="str">
        <f>IF(A80=$D$8,XIRR(S$34:S80,C$34:C80),"")</f>
        <v/>
      </c>
      <c r="R81" s="12" t="str">
        <f t="shared" si="6"/>
        <v/>
      </c>
      <c r="S81" s="115">
        <f t="shared" ca="1" si="4"/>
        <v>25421.603679988366</v>
      </c>
    </row>
    <row r="82" spans="1:21" x14ac:dyDescent="0.35">
      <c r="A82" s="10">
        <f t="shared" si="5"/>
        <v>48</v>
      </c>
      <c r="B82" s="49">
        <f ca="1">EDATE($B$34,48)</f>
        <v>45689</v>
      </c>
      <c r="C82" s="11">
        <f t="shared" ca="1" si="28"/>
        <v>45689</v>
      </c>
      <c r="D82" s="10">
        <f t="shared" ca="1" si="20"/>
        <v>31</v>
      </c>
      <c r="E82" s="12">
        <f t="shared" ca="1" si="29"/>
        <v>277004.5669350329</v>
      </c>
      <c r="F82" s="12">
        <f ca="1">IF(AND(A81="",A83=""),"",IF(A82="",SUM($F$35:F81),IF(A82=$D$8,$E$34-SUM($F$35:F81),$F$22-G82)))</f>
        <v>20621.346178864522</v>
      </c>
      <c r="G82" s="12">
        <f ca="1">IF(A81=$D$8,SUM($G$35:G81),IF(A81&gt;$D$8,"",E81*D82*$D$9/IF(OR(YEAR(C82)=2020,YEAR(C82)=2024),366,365)))</f>
        <v>4800.2575011238432</v>
      </c>
      <c r="H82" s="12">
        <f ca="1">IF(A81=$D$8,SUM($H$35:H81),IF(A81="","",(G82+F82)))</f>
        <v>25421.603679988366</v>
      </c>
      <c r="I82" s="12" t="str">
        <f t="shared" si="22"/>
        <v/>
      </c>
      <c r="J82" s="12" t="str">
        <f t="shared" si="23"/>
        <v/>
      </c>
      <c r="K82" s="12" t="str">
        <f t="shared" si="24"/>
        <v/>
      </c>
      <c r="L82" s="12" t="str">
        <f t="shared" si="25"/>
        <v/>
      </c>
      <c r="M82" s="12" t="str">
        <f t="shared" si="30"/>
        <v/>
      </c>
      <c r="N82" s="12" t="str">
        <f t="shared" si="26"/>
        <v/>
      </c>
      <c r="O82" s="12" t="str">
        <f t="shared" si="27"/>
        <v/>
      </c>
      <c r="P82" s="12"/>
      <c r="Q82" s="51" t="str">
        <f>IF(A81=$D$8,XIRR(S$34:S81,C$34:C81),"")</f>
        <v/>
      </c>
      <c r="R82" s="12" t="str">
        <f t="shared" si="6"/>
        <v/>
      </c>
      <c r="S82" s="115">
        <f t="shared" ca="1" si="4"/>
        <v>25421.603679988366</v>
      </c>
    </row>
    <row r="83" spans="1:21" x14ac:dyDescent="0.35">
      <c r="A83" s="10">
        <f t="shared" si="5"/>
        <v>49</v>
      </c>
      <c r="B83" s="49">
        <f ca="1">EDATE($B$34,49)</f>
        <v>45717</v>
      </c>
      <c r="C83" s="11">
        <f t="shared" ca="1" si="28"/>
        <v>45717</v>
      </c>
      <c r="D83" s="10">
        <f t="shared" ca="1" si="20"/>
        <v>28</v>
      </c>
      <c r="E83" s="12">
        <f t="shared" ca="1" si="29"/>
        <v>255618.27471615947</v>
      </c>
      <c r="F83" s="12">
        <f ca="1">IF(AND(A82="",A84=""),"",IF(A83="",SUM($F$35:F82),IF(A83=$D$8,$E$34-SUM($F$35:F82),$F$22-G83)))</f>
        <v>21386.292218873416</v>
      </c>
      <c r="G83" s="12">
        <f ca="1">IF(A82=$D$8,SUM($G$35:G82),IF(A82&gt;$D$8,"",E82*D83*$D$9/IF(OR(YEAR(C83)=2020,YEAR(C83)=2024),366,365)))</f>
        <v>4035.3114611149508</v>
      </c>
      <c r="H83" s="12">
        <f ca="1">IF(A82=$D$8,SUM($H$35:H82),IF(A82="","",(G83+F83)))</f>
        <v>25421.603679988366</v>
      </c>
      <c r="I83" s="12" t="str">
        <f t="shared" si="22"/>
        <v/>
      </c>
      <c r="J83" s="12" t="str">
        <f t="shared" si="23"/>
        <v/>
      </c>
      <c r="K83" s="12" t="str">
        <f t="shared" si="24"/>
        <v/>
      </c>
      <c r="L83" s="12" t="str">
        <f t="shared" si="25"/>
        <v/>
      </c>
      <c r="M83" s="12" t="str">
        <f t="shared" si="30"/>
        <v/>
      </c>
      <c r="N83" s="12" t="str">
        <f t="shared" si="26"/>
        <v/>
      </c>
      <c r="O83" s="12">
        <f>IF($F$8&gt;48,($P$17),IF($A$82=$F$8,O71+O59+O47+O34,""))</f>
        <v>2500</v>
      </c>
      <c r="P83" s="12"/>
      <c r="Q83" s="51" t="str">
        <f>IF(A82=$D$8,XIRR(S$34:S82,C$34:C82),"")</f>
        <v/>
      </c>
      <c r="R83" s="12" t="str">
        <f t="shared" si="6"/>
        <v/>
      </c>
      <c r="S83" s="115">
        <f t="shared" ca="1" si="4"/>
        <v>27921.603679988366</v>
      </c>
    </row>
    <row r="84" spans="1:21" x14ac:dyDescent="0.35">
      <c r="A84" s="10">
        <f t="shared" si="5"/>
        <v>50</v>
      </c>
      <c r="B84" s="49">
        <f ca="1">EDATE($B$34,50)</f>
        <v>45748</v>
      </c>
      <c r="C84" s="11">
        <f t="shared" ca="1" si="28"/>
        <v>45748</v>
      </c>
      <c r="D84" s="10">
        <f t="shared" ca="1" si="20"/>
        <v>31</v>
      </c>
      <c r="E84" s="12">
        <f t="shared" ca="1" si="29"/>
        <v>234319.40862912059</v>
      </c>
      <c r="F84" s="12">
        <f ca="1">IF(AND(A83="",A85=""),"",IF(A84="",SUM($F$35:F83),IF(A84=$D$8,$E$34-SUM($F$35:F83),$F$22-G84)))</f>
        <v>21298.866087038889</v>
      </c>
      <c r="G84" s="12">
        <f ca="1">IF(A83=$D$8,SUM($G$35:G83),IF(A83&gt;$D$8,"",E83*D84*$D$9/IF(OR(YEAR(C84)=2020,YEAR(C84)=2024),366,365)))</f>
        <v>4122.7375929494774</v>
      </c>
      <c r="H84" s="12">
        <f ca="1">IF(A83=$D$8,SUM($H$35:H83),IF(A83="","",(G84+F84)))</f>
        <v>25421.603679988366</v>
      </c>
      <c r="I84" s="12" t="str">
        <f t="shared" si="22"/>
        <v/>
      </c>
      <c r="J84" s="12" t="str">
        <f t="shared" si="23"/>
        <v/>
      </c>
      <c r="K84" s="12" t="str">
        <f t="shared" si="24"/>
        <v/>
      </c>
      <c r="L84" s="12" t="str">
        <f t="shared" si="25"/>
        <v/>
      </c>
      <c r="M84" s="12" t="str">
        <f t="shared" si="30"/>
        <v/>
      </c>
      <c r="N84" s="12" t="str">
        <f t="shared" si="26"/>
        <v/>
      </c>
      <c r="O84" s="12" t="str">
        <f t="shared" si="27"/>
        <v/>
      </c>
      <c r="P84" s="12"/>
      <c r="Q84" s="51" t="str">
        <f>IF(A83=$D$8,XIRR(S$34:S83,C$34:C83),"")</f>
        <v/>
      </c>
      <c r="R84" s="12" t="str">
        <f t="shared" si="6"/>
        <v/>
      </c>
      <c r="S84" s="115">
        <f t="shared" ca="1" si="4"/>
        <v>25421.603679988366</v>
      </c>
    </row>
    <row r="85" spans="1:21" x14ac:dyDescent="0.35">
      <c r="A85" s="10">
        <f t="shared" si="5"/>
        <v>51</v>
      </c>
      <c r="B85" s="49">
        <f ca="1">EDATE($B$34,51)</f>
        <v>45778</v>
      </c>
      <c r="C85" s="11">
        <f t="shared" ca="1" si="28"/>
        <v>45778</v>
      </c>
      <c r="D85" s="10">
        <f t="shared" ca="1" si="20"/>
        <v>30</v>
      </c>
      <c r="E85" s="12">
        <f t="shared" ca="1" si="29"/>
        <v>212555.11363669415</v>
      </c>
      <c r="F85" s="12">
        <f ca="1">IF(AND(A84="",A86=""),"",IF(A85="",SUM($F$35:F84),IF(A85=$D$8,$E$34-SUM($F$35:F84),$F$22-G85)))</f>
        <v>21764.294992426447</v>
      </c>
      <c r="G85" s="12">
        <f ca="1">IF(A84=$D$8,SUM($G$35:G84),IF(A84&gt;$D$8,"",E84*D85*$D$9/IF(OR(YEAR(C85)=2020,YEAR(C85)=2024),366,365)))</f>
        <v>3657.3086875619174</v>
      </c>
      <c r="H85" s="12">
        <f ca="1">IF(A84=$D$8,SUM($H$35:H84),IF(A84="","",(G85+F85)))</f>
        <v>25421.603679988366</v>
      </c>
      <c r="I85" s="12" t="str">
        <f t="shared" si="22"/>
        <v/>
      </c>
      <c r="J85" s="12" t="str">
        <f t="shared" si="23"/>
        <v/>
      </c>
      <c r="K85" s="12" t="str">
        <f t="shared" si="24"/>
        <v/>
      </c>
      <c r="L85" s="12" t="str">
        <f t="shared" si="25"/>
        <v/>
      </c>
      <c r="M85" s="12" t="str">
        <f t="shared" si="30"/>
        <v/>
      </c>
      <c r="N85" s="12" t="str">
        <f t="shared" si="26"/>
        <v/>
      </c>
      <c r="O85" s="12" t="str">
        <f t="shared" si="27"/>
        <v/>
      </c>
      <c r="P85" s="12"/>
      <c r="Q85" s="51" t="str">
        <f>IF(A84=$D$8,XIRR(S$34:S84,C$34:C84),"")</f>
        <v/>
      </c>
      <c r="R85" s="12" t="str">
        <f t="shared" si="6"/>
        <v/>
      </c>
      <c r="S85" s="115">
        <f t="shared" ca="1" si="4"/>
        <v>25421.603679988366</v>
      </c>
    </row>
    <row r="86" spans="1:21" x14ac:dyDescent="0.35">
      <c r="A86" s="10">
        <f t="shared" si="5"/>
        <v>52</v>
      </c>
      <c r="B86" s="49">
        <f ca="1">EDATE($B$34,52)</f>
        <v>45809</v>
      </c>
      <c r="C86" s="11">
        <f t="shared" ca="1" si="28"/>
        <v>45809</v>
      </c>
      <c r="D86" s="10">
        <f t="shared" ca="1" si="20"/>
        <v>31</v>
      </c>
      <c r="E86" s="12">
        <f t="shared" ca="1" si="29"/>
        <v>190561.70365113826</v>
      </c>
      <c r="F86" s="12">
        <f ca="1">IF(AND(A85="",A87=""),"",IF(A86="",SUM($F$35:F85),IF(A86=$D$8,$E$34-SUM($F$35:F85),$F$22-G86)))</f>
        <v>21993.409985555885</v>
      </c>
      <c r="G86" s="12">
        <f ca="1">IF(A85=$D$8,SUM($G$35:G85),IF(A85&gt;$D$8,"",E85*D86*$D$9/IF(OR(YEAR(C86)=2020,YEAR(C86)=2024),366,365)))</f>
        <v>3428.1936944324793</v>
      </c>
      <c r="H86" s="12">
        <f ca="1">IF(A85=$D$8,SUM($H$35:H85),IF(A85="","",(G86+F86)))</f>
        <v>25421.603679988366</v>
      </c>
      <c r="I86" s="12" t="str">
        <f t="shared" si="22"/>
        <v/>
      </c>
      <c r="J86" s="12" t="str">
        <f t="shared" si="23"/>
        <v/>
      </c>
      <c r="K86" s="12" t="str">
        <f t="shared" si="24"/>
        <v/>
      </c>
      <c r="L86" s="12" t="str">
        <f t="shared" si="25"/>
        <v/>
      </c>
      <c r="M86" s="12" t="str">
        <f t="shared" si="30"/>
        <v/>
      </c>
      <c r="N86" s="12" t="str">
        <f t="shared" si="26"/>
        <v/>
      </c>
      <c r="O86" s="12" t="str">
        <f t="shared" si="27"/>
        <v/>
      </c>
      <c r="P86" s="12"/>
      <c r="Q86" s="51" t="str">
        <f>IF(A85=$D$8,XIRR(S$34:S85,C$34:C85),"")</f>
        <v/>
      </c>
      <c r="R86" s="12" t="str">
        <f t="shared" si="6"/>
        <v/>
      </c>
      <c r="S86" s="115">
        <f t="shared" ca="1" si="4"/>
        <v>25421.603679988366</v>
      </c>
    </row>
    <row r="87" spans="1:21" x14ac:dyDescent="0.35">
      <c r="A87" s="10">
        <f t="shared" si="5"/>
        <v>53</v>
      </c>
      <c r="B87" s="49">
        <f ca="1">EDATE($B$34,53)</f>
        <v>45839</v>
      </c>
      <c r="C87" s="11">
        <f t="shared" ca="1" si="28"/>
        <v>45839</v>
      </c>
      <c r="D87" s="10">
        <f t="shared" ca="1" si="20"/>
        <v>30</v>
      </c>
      <c r="E87" s="12">
        <f t="shared" ca="1" si="29"/>
        <v>168114.4288086856</v>
      </c>
      <c r="F87" s="12">
        <f ca="1">IF(AND(A86="",A88=""),"",IF(A87="",SUM($F$35:F86),IF(A87=$D$8,$E$34-SUM($F$35:F86),$F$22-G87)))</f>
        <v>22447.274842452654</v>
      </c>
      <c r="G87" s="12">
        <f ca="1">IF(A86=$D$8,SUM($G$35:G86),IF(A86&gt;$D$8,"",E86*D87*$D$9/IF(OR(YEAR(C87)=2020,YEAR(C87)=2024),366,365)))</f>
        <v>2974.3288375357115</v>
      </c>
      <c r="H87" s="12">
        <f ca="1">IF(A86=$D$8,SUM($H$35:H86),IF(A86="","",(G87+F87)))</f>
        <v>25421.603679988366</v>
      </c>
      <c r="I87" s="12" t="str">
        <f t="shared" si="22"/>
        <v/>
      </c>
      <c r="J87" s="12" t="str">
        <f t="shared" si="23"/>
        <v/>
      </c>
      <c r="K87" s="12" t="str">
        <f t="shared" si="24"/>
        <v/>
      </c>
      <c r="L87" s="12" t="str">
        <f t="shared" si="25"/>
        <v/>
      </c>
      <c r="M87" s="12" t="str">
        <f t="shared" si="30"/>
        <v/>
      </c>
      <c r="N87" s="12" t="str">
        <f t="shared" si="26"/>
        <v/>
      </c>
      <c r="O87" s="12" t="str">
        <f t="shared" si="27"/>
        <v/>
      </c>
      <c r="P87" s="12"/>
      <c r="Q87" s="51" t="str">
        <f>IF(A86=$D$8,XIRR(S$34:S86,C$34:C86),"")</f>
        <v/>
      </c>
      <c r="R87" s="12" t="str">
        <f t="shared" si="6"/>
        <v/>
      </c>
      <c r="S87" s="115">
        <f t="shared" ca="1" si="4"/>
        <v>25421.603679988366</v>
      </c>
    </row>
    <row r="88" spans="1:21" x14ac:dyDescent="0.35">
      <c r="A88" s="10">
        <f t="shared" si="5"/>
        <v>54</v>
      </c>
      <c r="B88" s="49">
        <f ca="1">EDATE($B$34,54)</f>
        <v>45870</v>
      </c>
      <c r="C88" s="11">
        <f t="shared" ca="1" si="28"/>
        <v>45870</v>
      </c>
      <c r="D88" s="10">
        <f t="shared" ca="1" si="20"/>
        <v>31</v>
      </c>
      <c r="E88" s="12">
        <f t="shared" ca="1" si="29"/>
        <v>145404.25754226942</v>
      </c>
      <c r="F88" s="12">
        <f ca="1">IF(AND(A87="",A89=""),"",IF(A88="",SUM($F$35:F87),IF(A88=$D$8,$E$34-SUM($F$35:F87),$F$22-G88)))</f>
        <v>22710.171266416171</v>
      </c>
      <c r="G88" s="12">
        <f ca="1">IF(A87=$D$8,SUM($G$35:G87),IF(A87&gt;$D$8,"",E87*D88*$D$9/IF(OR(YEAR(C88)=2020,YEAR(C88)=2024),366,365)))</f>
        <v>2711.4324135721954</v>
      </c>
      <c r="H88" s="12">
        <f ca="1">IF(A87=$D$8,SUM($H$35:H87),IF(A87="","",(G88+F88)))</f>
        <v>25421.603679988366</v>
      </c>
      <c r="I88" s="12" t="str">
        <f t="shared" si="22"/>
        <v/>
      </c>
      <c r="J88" s="12" t="str">
        <f t="shared" si="23"/>
        <v/>
      </c>
      <c r="K88" s="12" t="str">
        <f t="shared" si="24"/>
        <v/>
      </c>
      <c r="L88" s="12" t="str">
        <f t="shared" si="25"/>
        <v/>
      </c>
      <c r="M88" s="12" t="str">
        <f t="shared" si="30"/>
        <v/>
      </c>
      <c r="N88" s="12" t="str">
        <f t="shared" si="26"/>
        <v/>
      </c>
      <c r="O88" s="12" t="str">
        <f t="shared" si="27"/>
        <v/>
      </c>
      <c r="P88" s="12"/>
      <c r="Q88" s="51" t="str">
        <f>IF(A87=$D$8,XIRR(S$34:S87,C$34:C87),"")</f>
        <v/>
      </c>
      <c r="R88" s="12" t="str">
        <f t="shared" si="6"/>
        <v/>
      </c>
      <c r="S88" s="115">
        <f t="shared" ca="1" si="4"/>
        <v>25421.603679988366</v>
      </c>
    </row>
    <row r="89" spans="1:21" x14ac:dyDescent="0.35">
      <c r="A89" s="10">
        <f t="shared" si="5"/>
        <v>55</v>
      </c>
      <c r="B89" s="49">
        <f ca="1">EDATE($B$34,55)</f>
        <v>45901</v>
      </c>
      <c r="C89" s="11">
        <f t="shared" ca="1" si="28"/>
        <v>45901</v>
      </c>
      <c r="D89" s="10">
        <f t="shared" ca="1" si="20"/>
        <v>31</v>
      </c>
      <c r="E89" s="12">
        <f t="shared" ca="1" si="29"/>
        <v>122327.80543413198</v>
      </c>
      <c r="F89" s="12">
        <f ca="1">IF(AND(A88="",A90=""),"",IF(A89="",SUM($F$35:F88),IF(A89=$D$8,$E$34-SUM($F$35:F88),$F$22-G89)))</f>
        <v>23076.452108137444</v>
      </c>
      <c r="G89" s="12">
        <f ca="1">IF(A88=$D$8,SUM($G$35:G88),IF(A88&gt;$D$8,"",E88*D89*$D$9/IF(OR(YEAR(C89)=2020,YEAR(C89)=2024),366,365)))</f>
        <v>2345.1515718509204</v>
      </c>
      <c r="H89" s="12">
        <f ca="1">IF(A88=$D$8,SUM($H$35:H88),IF(A88="","",(G89+F89)))</f>
        <v>25421.603679988366</v>
      </c>
      <c r="I89" s="12" t="str">
        <f t="shared" si="22"/>
        <v/>
      </c>
      <c r="J89" s="12" t="str">
        <f t="shared" si="23"/>
        <v/>
      </c>
      <c r="K89" s="12" t="str">
        <f t="shared" si="24"/>
        <v/>
      </c>
      <c r="L89" s="12" t="str">
        <f t="shared" si="25"/>
        <v/>
      </c>
      <c r="M89" s="12" t="str">
        <f t="shared" si="30"/>
        <v/>
      </c>
      <c r="N89" s="12" t="str">
        <f t="shared" si="26"/>
        <v/>
      </c>
      <c r="O89" s="12" t="str">
        <f t="shared" si="27"/>
        <v/>
      </c>
      <c r="P89" s="12"/>
      <c r="Q89" s="51" t="str">
        <f>IF(A88=$D$8,XIRR(S$34:S88,C$34:C88),"")</f>
        <v/>
      </c>
      <c r="R89" s="12" t="str">
        <f t="shared" si="6"/>
        <v/>
      </c>
      <c r="S89" s="115">
        <f t="shared" ca="1" si="4"/>
        <v>25421.603679988366</v>
      </c>
    </row>
    <row r="90" spans="1:21" x14ac:dyDescent="0.35">
      <c r="A90" s="10">
        <f t="shared" si="5"/>
        <v>56</v>
      </c>
      <c r="B90" s="49">
        <f ca="1">EDATE($B$34,56)</f>
        <v>45931</v>
      </c>
      <c r="C90" s="11">
        <f t="shared" ca="1" si="28"/>
        <v>45931</v>
      </c>
      <c r="D90" s="10">
        <f t="shared" ca="1" si="20"/>
        <v>30</v>
      </c>
      <c r="E90" s="12">
        <f t="shared" ca="1" si="29"/>
        <v>98815.520952933337</v>
      </c>
      <c r="F90" s="12">
        <f ca="1">IF(AND(A89="",A91=""),"",IF(A90="",SUM($F$35:F89),IF(A90=$D$8,$E$34-SUM($F$35:F89),$F$22-G90)))</f>
        <v>23512.28448119864</v>
      </c>
      <c r="G90" s="12">
        <f ca="1">IF(A89=$D$8,SUM($G$35:G89),IF(A89&gt;$D$8,"",E89*D90*$D$9/IF(OR(YEAR(C90)=2020,YEAR(C90)=2024),366,365)))</f>
        <v>1909.319198789726</v>
      </c>
      <c r="H90" s="12">
        <f ca="1">IF(A89=$D$8,SUM($H$35:H89),IF(A89="","",(G90+F90)))</f>
        <v>25421.603679988366</v>
      </c>
      <c r="I90" s="12" t="str">
        <f t="shared" si="22"/>
        <v/>
      </c>
      <c r="J90" s="12" t="str">
        <f t="shared" si="23"/>
        <v/>
      </c>
      <c r="K90" s="12" t="str">
        <f t="shared" si="24"/>
        <v/>
      </c>
      <c r="L90" s="12" t="str">
        <f t="shared" si="25"/>
        <v/>
      </c>
      <c r="M90" s="12" t="str">
        <f t="shared" si="30"/>
        <v/>
      </c>
      <c r="N90" s="12" t="str">
        <f t="shared" si="26"/>
        <v/>
      </c>
      <c r="O90" s="12" t="str">
        <f t="shared" si="27"/>
        <v/>
      </c>
      <c r="P90" s="12"/>
      <c r="Q90" s="51" t="str">
        <f>IF(A89=$D$8,XIRR(S$34:S89,C$34:C89),"")</f>
        <v/>
      </c>
      <c r="R90" s="12" t="str">
        <f t="shared" si="6"/>
        <v/>
      </c>
      <c r="S90" s="115">
        <f t="shared" ca="1" si="4"/>
        <v>25421.603679988366</v>
      </c>
    </row>
    <row r="91" spans="1:21" x14ac:dyDescent="0.35">
      <c r="A91" s="10">
        <f t="shared" si="5"/>
        <v>57</v>
      </c>
      <c r="B91" s="49">
        <f ca="1">EDATE($B$34,57)</f>
        <v>45962</v>
      </c>
      <c r="C91" s="11">
        <f t="shared" ca="1" si="28"/>
        <v>45962</v>
      </c>
      <c r="D91" s="10">
        <f t="shared" ca="1" si="20"/>
        <v>31</v>
      </c>
      <c r="E91" s="12">
        <f t="shared" ca="1" si="29"/>
        <v>74987.662725815724</v>
      </c>
      <c r="F91" s="12">
        <f ca="1">IF(AND(A90="",A92=""),"",IF(A91="",SUM($F$35:F90),IF(A91=$D$8,$E$34-SUM($F$35:F90),$F$22-G91)))</f>
        <v>23827.858227117616</v>
      </c>
      <c r="G91" s="12">
        <f ca="1">IF(A90=$D$8,SUM($G$35:G90),IF(A90&gt;$D$8,"",E90*D91*$D$9/IF(OR(YEAR(C91)=2020,YEAR(C91)=2024),366,365)))</f>
        <v>1593.7454528707487</v>
      </c>
      <c r="H91" s="12">
        <f ca="1">IF(A90=$D$8,SUM($H$35:H90),IF(A90="","",(G91+F91)))</f>
        <v>25421.603679988366</v>
      </c>
      <c r="I91" s="12" t="str">
        <f t="shared" si="22"/>
        <v/>
      </c>
      <c r="J91" s="12" t="str">
        <f t="shared" si="23"/>
        <v/>
      </c>
      <c r="K91" s="12" t="str">
        <f t="shared" si="24"/>
        <v/>
      </c>
      <c r="L91" s="12" t="str">
        <f t="shared" si="25"/>
        <v/>
      </c>
      <c r="M91" s="12" t="str">
        <f t="shared" si="30"/>
        <v/>
      </c>
      <c r="N91" s="12" t="str">
        <f t="shared" si="26"/>
        <v/>
      </c>
      <c r="O91" s="12" t="str">
        <f t="shared" si="27"/>
        <v/>
      </c>
      <c r="P91" s="12"/>
      <c r="Q91" s="51" t="str">
        <f>IF(A90=$D$8,XIRR(S$34:S90,C$34:C90),"")</f>
        <v/>
      </c>
      <c r="R91" s="12" t="str">
        <f t="shared" si="6"/>
        <v/>
      </c>
      <c r="S91" s="115">
        <f t="shared" ca="1" si="4"/>
        <v>25421.603679988366</v>
      </c>
    </row>
    <row r="92" spans="1:21" x14ac:dyDescent="0.35">
      <c r="A92" s="10">
        <f t="shared" si="5"/>
        <v>58</v>
      </c>
      <c r="B92" s="49">
        <f ca="1">EDATE($B$34,58)</f>
        <v>45992</v>
      </c>
      <c r="C92" s="11">
        <f t="shared" ca="1" si="28"/>
        <v>45992</v>
      </c>
      <c r="D92" s="10">
        <f t="shared" ca="1" si="20"/>
        <v>30</v>
      </c>
      <c r="E92" s="12">
        <f t="shared" ca="1" si="29"/>
        <v>50736.482921303992</v>
      </c>
      <c r="F92" s="12">
        <f ca="1">IF(AND(A91="",A93=""),"",IF(A92="",SUM($F$35:F91),IF(A92=$D$8,$E$34-SUM($F$35:F91),$F$22-G92)))</f>
        <v>24251.179804511728</v>
      </c>
      <c r="G92" s="12">
        <f ca="1">IF(A91=$D$8,SUM($G$35:G91),IF(A91&gt;$D$8,"",E91*D92*$D$9/IF(OR(YEAR(C92)=2020,YEAR(C92)=2024),366,365)))</f>
        <v>1170.4238754766361</v>
      </c>
      <c r="H92" s="12">
        <f ca="1">IF(A91=$D$8,SUM($H$35:H91),IF(A91="","",(G92+F92)))</f>
        <v>25421.603679988366</v>
      </c>
      <c r="I92" s="12" t="str">
        <f t="shared" si="22"/>
        <v/>
      </c>
      <c r="J92" s="12" t="str">
        <f t="shared" si="23"/>
        <v/>
      </c>
      <c r="K92" s="12" t="str">
        <f t="shared" si="24"/>
        <v/>
      </c>
      <c r="L92" s="12" t="str">
        <f t="shared" si="25"/>
        <v/>
      </c>
      <c r="M92" s="12" t="str">
        <f t="shared" si="30"/>
        <v/>
      </c>
      <c r="N92" s="12" t="str">
        <f t="shared" si="26"/>
        <v/>
      </c>
      <c r="O92" s="12" t="str">
        <f t="shared" si="27"/>
        <v/>
      </c>
      <c r="P92" s="12"/>
      <c r="Q92" s="51" t="str">
        <f>IF(A91=$D$8,XIRR(S$34:S91,C$34:C91),"")</f>
        <v/>
      </c>
      <c r="R92" s="12" t="str">
        <f t="shared" si="6"/>
        <v/>
      </c>
      <c r="S92" s="115">
        <f t="shared" ca="1" si="4"/>
        <v>25421.603679988366</v>
      </c>
    </row>
    <row r="93" spans="1:21" x14ac:dyDescent="0.35">
      <c r="A93" s="10">
        <f t="shared" si="5"/>
        <v>59</v>
      </c>
      <c r="B93" s="49">
        <f ca="1">EDATE($B$34,59)</f>
        <v>46023</v>
      </c>
      <c r="C93" s="11">
        <f t="shared" ca="1" si="28"/>
        <v>46023</v>
      </c>
      <c r="D93" s="10">
        <f t="shared" ca="1" si="20"/>
        <v>31</v>
      </c>
      <c r="E93" s="12">
        <f t="shared" ca="1" si="29"/>
        <v>26133.182258601722</v>
      </c>
      <c r="F93" s="12">
        <f ca="1">IF(AND(A92="",A94=""),"",IF(A93="",SUM($F$35:F92),IF(A93=$D$8,$E$34-SUM($F$35:F92),$F$22-G93)))</f>
        <v>24603.30066270227</v>
      </c>
      <c r="G93" s="12">
        <f ca="1">IF(A92=$D$8,SUM($G$35:G92),IF(A92&gt;$D$8,"",E92*D93*$D$9/IF(OR(YEAR(C93)=2020,YEAR(C93)=2024),366,365)))</f>
        <v>818.30301728609447</v>
      </c>
      <c r="H93" s="12">
        <f ca="1">IF(A92=$D$8,SUM($H$35:H92),IF(A92="","",(G93+F93)))</f>
        <v>25421.603679988366</v>
      </c>
      <c r="I93" s="12" t="str">
        <f t="shared" si="22"/>
        <v/>
      </c>
      <c r="J93" s="12" t="str">
        <f t="shared" si="23"/>
        <v/>
      </c>
      <c r="K93" s="12" t="str">
        <f t="shared" si="24"/>
        <v/>
      </c>
      <c r="L93" s="12" t="str">
        <f t="shared" si="25"/>
        <v/>
      </c>
      <c r="M93" s="12" t="str">
        <f t="shared" si="30"/>
        <v/>
      </c>
      <c r="N93" s="12" t="str">
        <f t="shared" si="26"/>
        <v/>
      </c>
      <c r="O93" s="12" t="str">
        <f t="shared" si="27"/>
        <v/>
      </c>
      <c r="P93" s="12"/>
      <c r="Q93" s="51" t="str">
        <f>IF(A92=$D$8,XIRR(S$34:S92,C$34:C92),"")</f>
        <v/>
      </c>
      <c r="R93" s="12" t="str">
        <f t="shared" si="6"/>
        <v/>
      </c>
      <c r="S93" s="115">
        <f t="shared" ca="1" si="4"/>
        <v>25421.603679988366</v>
      </c>
    </row>
    <row r="94" spans="1:21" x14ac:dyDescent="0.35">
      <c r="A94" s="10">
        <f t="shared" si="5"/>
        <v>60</v>
      </c>
      <c r="B94" s="49">
        <f ca="1">EDATE($B$34,60)</f>
        <v>46054</v>
      </c>
      <c r="C94" s="11">
        <f t="shared" ca="1" si="28"/>
        <v>46053</v>
      </c>
      <c r="D94" s="10">
        <f t="shared" ca="1" si="20"/>
        <v>30</v>
      </c>
      <c r="E94" s="12">
        <f t="shared" ca="1" si="29"/>
        <v>-2.7648638933897018E-10</v>
      </c>
      <c r="F94" s="12">
        <f ca="1">IF(AND(A93="",A95=""),"",IF(A94="",SUM($F$35:F93),IF(A94=$D$8,$E$34-SUM($F$35:F93),$F$22-G94)))</f>
        <v>26133.182258601999</v>
      </c>
      <c r="G94" s="12">
        <f ca="1">IF(A93=$D$8,SUM($G$35:G93),IF(A93&gt;$D$8,"",E93*D94*$D$9/IF(OR(YEAR(C94)=2020,YEAR(C94)=2024),366,365)))</f>
        <v>407.89243651302473</v>
      </c>
      <c r="H94" s="12">
        <f ca="1">IF(A93=$D$8,SUM($H$35:H93),IF(A93="","",(G94+F94)))</f>
        <v>26541.074695115025</v>
      </c>
      <c r="I94" s="12" t="str">
        <f t="shared" si="22"/>
        <v/>
      </c>
      <c r="J94" s="12" t="str">
        <f t="shared" si="23"/>
        <v/>
      </c>
      <c r="K94" s="12" t="str">
        <f t="shared" si="24"/>
        <v/>
      </c>
      <c r="L94" s="12" t="str">
        <f t="shared" si="25"/>
        <v/>
      </c>
      <c r="M94" s="12" t="str">
        <f t="shared" si="30"/>
        <v/>
      </c>
      <c r="N94" s="12" t="str">
        <f t="shared" si="26"/>
        <v/>
      </c>
      <c r="O94" s="12" t="str">
        <f t="shared" si="27"/>
        <v/>
      </c>
      <c r="P94" s="12"/>
      <c r="Q94" s="51" t="str">
        <f>IF(A93=$D$8,XIRR(S$34:S93,C$34:C93),"")</f>
        <v/>
      </c>
      <c r="R94" s="12" t="str">
        <f t="shared" si="6"/>
        <v/>
      </c>
      <c r="S94" s="115">
        <f t="shared" ca="1" si="4"/>
        <v>26541.074695115025</v>
      </c>
    </row>
    <row r="95" spans="1:21" x14ac:dyDescent="0.35">
      <c r="A95" s="10" t="str">
        <f t="shared" si="5"/>
        <v/>
      </c>
      <c r="B95" s="49">
        <f ca="1">EDATE($B$34,61)</f>
        <v>46082</v>
      </c>
      <c r="C95" s="11" t="str">
        <f t="shared" ca="1" si="28"/>
        <v/>
      </c>
      <c r="D95" s="10" t="str">
        <f t="shared" si="20"/>
        <v/>
      </c>
      <c r="E95" s="12" t="str">
        <f t="shared" si="29"/>
        <v/>
      </c>
      <c r="F95" s="12">
        <f ca="1">IF(AND(A94="",A96=""),"",IF(A95="",SUM($F$35:F94),IF(A95=$D$8,$E$34-SUM($F$35:F94),$F$30-G95)))</f>
        <v>1000000</v>
      </c>
      <c r="G95" s="12">
        <f ca="1">IF(A94=$D$8,SUM($G$35:G94),IF(A94&gt;$D$8,"",E94*D95*$F$27/IF(OR(YEAR(C95)=2020,YEAR(C95)=2024),366,365)))</f>
        <v>500150.88077446329</v>
      </c>
      <c r="H95" s="12">
        <f ca="1">IF(A94=$D$8,SUM($H$35:H94),IF(A94="","",(G95+F95)))</f>
        <v>1500150.8807744633</v>
      </c>
      <c r="I95" s="12">
        <f t="shared" si="22"/>
        <v>0</v>
      </c>
      <c r="J95" s="12">
        <f t="shared" si="23"/>
        <v>0</v>
      </c>
      <c r="K95" s="12">
        <f t="shared" si="24"/>
        <v>59900</v>
      </c>
      <c r="L95" s="12">
        <f t="shared" si="25"/>
        <v>0</v>
      </c>
      <c r="M95" s="12">
        <f t="shared" si="30"/>
        <v>10000</v>
      </c>
      <c r="N95" s="12">
        <f t="shared" si="26"/>
        <v>0</v>
      </c>
      <c r="O95" s="12">
        <f>IF($F$8&gt;60,($P$17),IF($A$94=$F$8,O83+O71+O59+O47+O34,""))</f>
        <v>12500</v>
      </c>
      <c r="P95" s="12"/>
      <c r="Q95" s="51">
        <f ca="1">IF(A94=$D$8,XIRR(S$34:S94,C$34:C94),"")</f>
        <v>0.22757745385169983</v>
      </c>
      <c r="R95" s="12">
        <f t="shared" ca="1" si="6"/>
        <v>1582550.8807744633</v>
      </c>
      <c r="U95" s="53"/>
    </row>
    <row r="96" spans="1:21" x14ac:dyDescent="0.35">
      <c r="A96" s="10" t="str">
        <f t="shared" si="5"/>
        <v/>
      </c>
      <c r="B96" s="49">
        <f ca="1">EDATE($B$34,62)</f>
        <v>46113</v>
      </c>
      <c r="C96" s="11" t="str">
        <f t="shared" ca="1" si="28"/>
        <v/>
      </c>
      <c r="D96" s="10" t="str">
        <f t="shared" si="20"/>
        <v/>
      </c>
      <c r="E96" s="12" t="str">
        <f t="shared" si="29"/>
        <v/>
      </c>
      <c r="F96" s="12" t="str">
        <f>IF(AND(A95="",A97=""),"",IF(A96="",SUM($F$35:F95),IF(A96=$D$8,$E$34-SUM($F$35:F95),$F$30-G96)))</f>
        <v/>
      </c>
      <c r="G96" s="12" t="str">
        <f>IF(A95=$D$8,SUM($G$35:G95),IF(A95&gt;$D$8,"",E95*D96*$F$27/IF(OR(YEAR(C96)=2020,YEAR(C96)=2024),366,365)))</f>
        <v/>
      </c>
      <c r="H96" s="12" t="str">
        <f>IF(A95=$D$8,SUM($H$35:H95),IF(A95="","",(G96+F96)))</f>
        <v/>
      </c>
      <c r="I96" s="12"/>
      <c r="J96" s="12"/>
      <c r="K96" s="12"/>
      <c r="L96" s="12"/>
      <c r="M96" s="12" t="str">
        <f t="shared" si="30"/>
        <v/>
      </c>
      <c r="N96" s="12"/>
      <c r="O96" s="12"/>
      <c r="P96" s="12"/>
      <c r="Q96" s="51" t="str">
        <f>IF(A95=$D$8,XIRR(H$34:H95,C$34:C95),"")</f>
        <v/>
      </c>
      <c r="R96" s="12" t="str">
        <f t="shared" ref="R96:R100" si="31">IF(A95=$D$8,G96+M96+F96,"")</f>
        <v/>
      </c>
    </row>
    <row r="97" spans="1:18" x14ac:dyDescent="0.35">
      <c r="A97" s="10" t="str">
        <f t="shared" si="5"/>
        <v/>
      </c>
      <c r="B97" s="49">
        <f ca="1">EDATE($B$34,63)</f>
        <v>46143</v>
      </c>
      <c r="C97" s="11" t="str">
        <f t="shared" ca="1" si="28"/>
        <v/>
      </c>
      <c r="D97" s="10" t="str">
        <f t="shared" si="20"/>
        <v/>
      </c>
      <c r="E97" s="12" t="str">
        <f t="shared" si="29"/>
        <v/>
      </c>
      <c r="F97" s="12" t="str">
        <f>IF(AND(A96="",A98=""),"",IF(A97="",SUM($F$35:F96),IF(A97=$D$8,$E$34-SUM($F$35:F96),$F$30-G97)))</f>
        <v/>
      </c>
      <c r="G97" s="12" t="str">
        <f>IF(A96=$D$8,SUM($G$35:G96),IF(A96&gt;$D$8,"",E96*D97*$F$27/IF(OR(YEAR(C97)=2020,YEAR(C97)=2024),366,365)))</f>
        <v/>
      </c>
      <c r="H97" s="12" t="str">
        <f>IF(A96=$D$8,SUM($H$35:H96),IF(A96="","",(G97+F97)))</f>
        <v/>
      </c>
      <c r="I97" s="12"/>
      <c r="J97" s="12"/>
      <c r="K97" s="12"/>
      <c r="L97" s="12"/>
      <c r="M97" s="12" t="str">
        <f t="shared" si="30"/>
        <v/>
      </c>
      <c r="N97" s="12"/>
      <c r="O97" s="12"/>
      <c r="P97" s="12"/>
      <c r="Q97" s="51" t="str">
        <f>IF(A96=$D$8,XIRR(H$34:H96,C$34:C96),"")</f>
        <v/>
      </c>
      <c r="R97" s="12" t="str">
        <f t="shared" si="31"/>
        <v/>
      </c>
    </row>
    <row r="98" spans="1:18" x14ac:dyDescent="0.35">
      <c r="A98" s="10" t="str">
        <f t="shared" si="5"/>
        <v/>
      </c>
      <c r="B98" s="49">
        <f ca="1">EDATE($B$34,64)</f>
        <v>46174</v>
      </c>
      <c r="C98" s="11" t="str">
        <f t="shared" ca="1" si="28"/>
        <v/>
      </c>
      <c r="D98" s="10" t="str">
        <f t="shared" si="20"/>
        <v/>
      </c>
      <c r="E98" s="12" t="str">
        <f t="shared" si="29"/>
        <v/>
      </c>
      <c r="F98" s="12" t="str">
        <f>IF(AND(A97="",A99=""),"",IF(A98="",SUM($F$35:F97),IF(A98=$D$8,$E$34-SUM($F$35:F97),$F$30-G98)))</f>
        <v/>
      </c>
      <c r="G98" s="12" t="str">
        <f>IF(A97=$D$8,SUM($G$35:G97),IF(A97&gt;$D$8,"",E97*D98*$F$27/IF(OR(YEAR(C98)=2020,YEAR(C98)=2024),366,365)))</f>
        <v/>
      </c>
      <c r="H98" s="12" t="str">
        <f>IF(A97=$D$8,SUM($H$35:H97),IF(A97="","",(G98+F98)))</f>
        <v/>
      </c>
      <c r="I98" s="12"/>
      <c r="J98" s="12"/>
      <c r="K98" s="12"/>
      <c r="L98" s="12"/>
      <c r="M98" s="12" t="str">
        <f t="shared" si="30"/>
        <v/>
      </c>
      <c r="N98" s="12"/>
      <c r="O98" s="12"/>
      <c r="P98" s="12"/>
      <c r="Q98" s="51" t="str">
        <f>IF(A97=$D$8,XIRR(H$34:H97,C$34:C97),"")</f>
        <v/>
      </c>
      <c r="R98" s="12" t="str">
        <f t="shared" si="31"/>
        <v/>
      </c>
    </row>
    <row r="99" spans="1:18" x14ac:dyDescent="0.35">
      <c r="A99" s="10" t="str">
        <f t="shared" si="5"/>
        <v/>
      </c>
      <c r="B99" s="49">
        <f ca="1">EDATE($B$34,65)</f>
        <v>46204</v>
      </c>
      <c r="C99" s="11" t="str">
        <f t="shared" ca="1" si="28"/>
        <v/>
      </c>
      <c r="D99" s="10" t="str">
        <f t="shared" si="20"/>
        <v/>
      </c>
      <c r="E99" s="12" t="str">
        <f t="shared" si="29"/>
        <v/>
      </c>
      <c r="F99" s="12" t="str">
        <f>IF(AND(A98="",A100=""),"",IF(A99="",SUM($F$35:F98),IF(A99=$D$8,$E$34-SUM($F$35:F98),$F$30-G99)))</f>
        <v/>
      </c>
      <c r="G99" s="12" t="str">
        <f>IF(A98=$D$8,SUM($G$35:G98),IF(A98&gt;$D$8,"",E98*D99*$F$27/IF(OR(YEAR(C99)=2020,YEAR(C99)=2024),366,365)))</f>
        <v/>
      </c>
      <c r="H99" s="12" t="str">
        <f>IF(A98=$D$8,SUM($H$35:H98),IF(A98="","",(G99+F99)))</f>
        <v/>
      </c>
      <c r="I99" s="12"/>
      <c r="J99" s="12"/>
      <c r="K99" s="12"/>
      <c r="L99" s="12"/>
      <c r="M99" s="12" t="str">
        <f t="shared" si="30"/>
        <v/>
      </c>
      <c r="N99" s="12"/>
      <c r="O99" s="12"/>
      <c r="P99" s="12"/>
      <c r="Q99" s="51" t="str">
        <f>IF(A98=$D$8,XIRR(H$34:H98,C$34:C98),"")</f>
        <v/>
      </c>
      <c r="R99" s="12" t="str">
        <f t="shared" si="31"/>
        <v/>
      </c>
    </row>
    <row r="100" spans="1:18" x14ac:dyDescent="0.35">
      <c r="A100" s="10" t="str">
        <f t="shared" si="5"/>
        <v/>
      </c>
      <c r="B100" s="49">
        <f ca="1">EDATE($B$34,66)</f>
        <v>46235</v>
      </c>
      <c r="C100" s="11" t="str">
        <f t="shared" ca="1" si="28"/>
        <v/>
      </c>
      <c r="D100" s="10" t="str">
        <f t="shared" si="20"/>
        <v/>
      </c>
      <c r="E100" s="12" t="str">
        <f t="shared" si="29"/>
        <v/>
      </c>
      <c r="F100" s="12" t="str">
        <f>IF(AND(A99="",A101=""),"",IF(A100="",SUM($F$35:F99),IF(A100=$D$8,$E$34-SUM($F$35:F99),$F$30-G100)))</f>
        <v/>
      </c>
      <c r="G100" s="12" t="str">
        <f>IF(A99=$D$8,SUM($G$35:G99),IF(A99&gt;$D$8,"",E99*D100*$F$27/IF(OR(YEAR(C100)=2020,YEAR(C100)=2024),366,365)))</f>
        <v/>
      </c>
      <c r="H100" s="12" t="str">
        <f>IF(A99=$D$8,SUM($H$35:H99),IF(A99="","",(G100+F100)))</f>
        <v/>
      </c>
      <c r="I100" s="12"/>
      <c r="J100" s="12"/>
      <c r="K100" s="12"/>
      <c r="L100" s="12"/>
      <c r="M100" s="12" t="str">
        <f t="shared" si="30"/>
        <v/>
      </c>
      <c r="N100" s="12"/>
      <c r="O100" s="12"/>
      <c r="P100" s="12"/>
      <c r="Q100" s="51" t="str">
        <f>IF(A99=$D$8,XIRR(H$34:H99,C$34:C99),"")</f>
        <v/>
      </c>
      <c r="R100" s="12" t="str">
        <f t="shared" si="31"/>
        <v/>
      </c>
    </row>
    <row r="101" spans="1:18" x14ac:dyDescent="0.35">
      <c r="A101" s="10" t="str">
        <f t="shared" ref="A101:A122" si="32">IF(A100&lt;$D$8,A100+1,"")</f>
        <v/>
      </c>
      <c r="B101" s="49">
        <f ca="1">EDATE($B$34,67)</f>
        <v>46266</v>
      </c>
      <c r="C101" s="11" t="str">
        <f t="shared" ca="1" si="28"/>
        <v/>
      </c>
      <c r="D101" s="10" t="str">
        <f t="shared" si="20"/>
        <v/>
      </c>
      <c r="E101" s="12" t="str">
        <f t="shared" si="29"/>
        <v/>
      </c>
      <c r="F101" s="12" t="str">
        <f>IF(AND(A100="",A102=""),"",IF(A101="",SUM($F$35:F100),IF(A101=$D$8,$E$34-SUM($F$35:F100),$F$30-G101)))</f>
        <v/>
      </c>
      <c r="G101" s="12" t="str">
        <f>IF(A100=$D$8,SUM($G$35:G100),IF(A100&gt;$D$8,"",E100*D101*$F$27/IF(OR(YEAR(C101)=2020,YEAR(C101)=2024),366,365)))</f>
        <v/>
      </c>
      <c r="H101" s="12" t="str">
        <f>IF(A100=$D$8,SUM($H$35:H100),IF(A100="","",(G101+F101)))</f>
        <v/>
      </c>
      <c r="I101" s="12"/>
      <c r="J101" s="12"/>
      <c r="K101" s="12"/>
      <c r="L101" s="12"/>
      <c r="M101" s="12" t="str">
        <f t="shared" si="30"/>
        <v/>
      </c>
      <c r="N101" s="12"/>
      <c r="O101" s="12"/>
      <c r="P101" s="12"/>
      <c r="Q101" s="51" t="str">
        <f>IF(A100=$D$8,XIRR(H$34:H100,C$34:C100),"")</f>
        <v/>
      </c>
      <c r="R101" s="12" t="str">
        <f t="shared" ref="R101:R119" si="33">IF(A100=$D$8,G101+M101+F101,"")</f>
        <v/>
      </c>
    </row>
    <row r="102" spans="1:18" x14ac:dyDescent="0.35">
      <c r="A102" s="10" t="str">
        <f t="shared" si="32"/>
        <v/>
      </c>
      <c r="B102" s="49">
        <f ca="1">EDATE($B$34,68)</f>
        <v>46296</v>
      </c>
      <c r="C102" s="11" t="str">
        <f t="shared" ca="1" si="28"/>
        <v/>
      </c>
      <c r="D102" s="10" t="str">
        <f t="shared" si="20"/>
        <v/>
      </c>
      <c r="E102" s="12" t="str">
        <f t="shared" si="29"/>
        <v/>
      </c>
      <c r="F102" s="12" t="str">
        <f>IF(AND(A101="",A103=""),"",IF(A102="",SUM($F$35:F101),IF(A102=$D$8,$E$34-SUM($F$35:F101),$F$30-G102)))</f>
        <v/>
      </c>
      <c r="G102" s="12" t="str">
        <f>IF(A101=$D$8,SUM($G$35:G101),IF(A101&gt;$D$8,"",E101*D102*$F$27/IF(OR(YEAR(C102)=2020,YEAR(C102)=2024),366,365)))</f>
        <v/>
      </c>
      <c r="H102" s="12" t="str">
        <f>IF(A101=$D$8,SUM($H$35:H101),IF(A101="","",(G102+F102)))</f>
        <v/>
      </c>
      <c r="I102" s="12"/>
      <c r="J102" s="12"/>
      <c r="K102" s="12"/>
      <c r="L102" s="12"/>
      <c r="M102" s="12" t="str">
        <f t="shared" si="30"/>
        <v/>
      </c>
      <c r="N102" s="12"/>
      <c r="O102" s="12"/>
      <c r="P102" s="12"/>
      <c r="Q102" s="51" t="str">
        <f>IF(A101=$D$8,XIRR(H$34:H101,C$34:C101),"")</f>
        <v/>
      </c>
      <c r="R102" s="12" t="str">
        <f t="shared" si="33"/>
        <v/>
      </c>
    </row>
    <row r="103" spans="1:18" x14ac:dyDescent="0.35">
      <c r="A103" s="10" t="str">
        <f t="shared" si="32"/>
        <v/>
      </c>
      <c r="B103" s="49">
        <f ca="1">EDATE($B$34,69)</f>
        <v>46327</v>
      </c>
      <c r="C103" s="11" t="str">
        <f t="shared" ca="1" si="28"/>
        <v/>
      </c>
      <c r="D103" s="10" t="str">
        <f t="shared" si="20"/>
        <v/>
      </c>
      <c r="E103" s="12" t="str">
        <f t="shared" si="29"/>
        <v/>
      </c>
      <c r="F103" s="12" t="str">
        <f>IF(AND(A102="",A104=""),"",IF(A103="",SUM($F$35:F102),IF(A103=$D$8,$E$34-SUM($F$35:F102),$F$30-G103)))</f>
        <v/>
      </c>
      <c r="G103" s="12" t="str">
        <f>IF(A102=$D$8,SUM($G$35:G102),IF(A102&gt;$D$8,"",E102*D103*$F$27/IF(OR(YEAR(C103)=2020,YEAR(C103)=2024),366,365)))</f>
        <v/>
      </c>
      <c r="H103" s="12" t="str">
        <f>IF(A102=$D$8,SUM($H$35:H102),IF(A102="","",(G103+F103)))</f>
        <v/>
      </c>
      <c r="I103" s="12"/>
      <c r="J103" s="12"/>
      <c r="K103" s="12"/>
      <c r="L103" s="12"/>
      <c r="M103" s="12" t="str">
        <f t="shared" si="30"/>
        <v/>
      </c>
      <c r="N103" s="12"/>
      <c r="O103" s="12"/>
      <c r="P103" s="12"/>
      <c r="Q103" s="51" t="str">
        <f>IF(A102=$D$8,XIRR(H$34:H102,C$34:C102),"")</f>
        <v/>
      </c>
      <c r="R103" s="12" t="str">
        <f t="shared" si="33"/>
        <v/>
      </c>
    </row>
    <row r="104" spans="1:18" x14ac:dyDescent="0.35">
      <c r="A104" s="10" t="str">
        <f t="shared" si="32"/>
        <v/>
      </c>
      <c r="B104" s="49">
        <f ca="1">EDATE($B$34,70)</f>
        <v>46357</v>
      </c>
      <c r="C104" s="11" t="str">
        <f t="shared" ca="1" si="28"/>
        <v/>
      </c>
      <c r="D104" s="10" t="str">
        <f t="shared" si="20"/>
        <v/>
      </c>
      <c r="E104" s="12" t="str">
        <f t="shared" si="29"/>
        <v/>
      </c>
      <c r="F104" s="12" t="str">
        <f>IF(AND(A103="",A105=""),"",IF(A104="",SUM($F$35:F103),IF(A104=$D$8,$E$34-SUM($F$35:F103),$F$30-G104)))</f>
        <v/>
      </c>
      <c r="G104" s="12" t="str">
        <f>IF(A103=$D$8,SUM($G$35:G103),IF(A103&gt;$D$8,"",E103*D104*$F$27/IF(OR(YEAR(C104)=2020,YEAR(C104)=2024),366,365)))</f>
        <v/>
      </c>
      <c r="H104" s="12" t="str">
        <f>IF(A103=$D$8,SUM($H$35:H103),IF(A103="","",(G104+F104)))</f>
        <v/>
      </c>
      <c r="I104" s="12"/>
      <c r="J104" s="12"/>
      <c r="K104" s="12"/>
      <c r="L104" s="12"/>
      <c r="M104" s="12" t="str">
        <f t="shared" si="30"/>
        <v/>
      </c>
      <c r="N104" s="12"/>
      <c r="O104" s="12"/>
      <c r="P104" s="12"/>
      <c r="Q104" s="51" t="str">
        <f>IF(A103=$D$8,XIRR(H$34:H103,C$34:C103),"")</f>
        <v/>
      </c>
      <c r="R104" s="12" t="str">
        <f t="shared" si="33"/>
        <v/>
      </c>
    </row>
    <row r="105" spans="1:18" x14ac:dyDescent="0.35">
      <c r="A105" s="10" t="str">
        <f t="shared" si="32"/>
        <v/>
      </c>
      <c r="B105" s="49">
        <f ca="1">EDATE($B$34,71)</f>
        <v>46388</v>
      </c>
      <c r="C105" s="11" t="str">
        <f t="shared" ca="1" si="28"/>
        <v/>
      </c>
      <c r="D105" s="10" t="str">
        <f t="shared" si="20"/>
        <v/>
      </c>
      <c r="E105" s="12" t="str">
        <f t="shared" si="29"/>
        <v/>
      </c>
      <c r="F105" s="12" t="str">
        <f>IF(AND(A104="",A106=""),"",IF(A105="",SUM($F$35:F104),IF(A105=$D$8,$E$34-SUM($F$35:F104),$F$30-G105)))</f>
        <v/>
      </c>
      <c r="G105" s="12" t="str">
        <f>IF(A104=$D$8,SUM($G$35:G104),IF(A104&gt;$D$8,"",E104*D105*$F$27/IF(OR(YEAR(C105)=2020,YEAR(C105)=2024),366,365)))</f>
        <v/>
      </c>
      <c r="H105" s="12" t="str">
        <f>IF(A104=$D$8,SUM($H$35:H104),IF(A104="","",(G105+F105)))</f>
        <v/>
      </c>
      <c r="I105" s="12"/>
      <c r="J105" s="12"/>
      <c r="K105" s="12"/>
      <c r="L105" s="12"/>
      <c r="M105" s="12" t="str">
        <f t="shared" si="30"/>
        <v/>
      </c>
      <c r="N105" s="12"/>
      <c r="O105" s="12"/>
      <c r="P105" s="12"/>
      <c r="Q105" s="51" t="str">
        <f>IF(A104=$D$8,XIRR(H$34:H104,C$34:C104),"")</f>
        <v/>
      </c>
      <c r="R105" s="12" t="str">
        <f t="shared" si="33"/>
        <v/>
      </c>
    </row>
    <row r="106" spans="1:18" x14ac:dyDescent="0.35">
      <c r="A106" s="10" t="str">
        <f t="shared" si="32"/>
        <v/>
      </c>
      <c r="B106" s="49">
        <f ca="1">EDATE($B$34,72)</f>
        <v>46419</v>
      </c>
      <c r="C106" s="11" t="str">
        <f t="shared" ca="1" si="28"/>
        <v/>
      </c>
      <c r="D106" s="10" t="str">
        <f t="shared" si="20"/>
        <v/>
      </c>
      <c r="E106" s="12" t="str">
        <f t="shared" si="29"/>
        <v/>
      </c>
      <c r="F106" s="12" t="str">
        <f>IF(AND(A105="",A107=""),"",IF(A106="",SUM($F$35:F105),IF(A106=$D$8,$E$34-SUM($F$35:F105),$F$30-G106)))</f>
        <v/>
      </c>
      <c r="G106" s="12" t="str">
        <f>IF(A105=$D$8,SUM($G$35:G105),IF(A105&gt;$D$8,"",E105*D106*$F$27/IF(OR(YEAR(C106)=2020,YEAR(C106)=2024),366,365)))</f>
        <v/>
      </c>
      <c r="H106" s="12" t="str">
        <f>IF(A105=$D$8,SUM($H$35:H105),IF(A105="","",(G106+F106)))</f>
        <v/>
      </c>
      <c r="I106" s="12"/>
      <c r="J106" s="12"/>
      <c r="K106" s="12"/>
      <c r="L106" s="12"/>
      <c r="M106" s="12" t="str">
        <f t="shared" si="30"/>
        <v/>
      </c>
      <c r="N106" s="12"/>
      <c r="O106" s="12"/>
      <c r="P106" s="12"/>
      <c r="Q106" s="51" t="str">
        <f>IF(A105=$D$8,XIRR(H$34:H105,C$34:C105),"")</f>
        <v/>
      </c>
      <c r="R106" s="12" t="str">
        <f t="shared" si="33"/>
        <v/>
      </c>
    </row>
    <row r="107" spans="1:18" x14ac:dyDescent="0.35">
      <c r="A107" s="10" t="str">
        <f t="shared" si="32"/>
        <v/>
      </c>
      <c r="B107" s="49">
        <f ca="1">EDATE($B$34,73)</f>
        <v>46447</v>
      </c>
      <c r="C107" s="11" t="str">
        <f t="shared" ca="1" si="28"/>
        <v/>
      </c>
      <c r="D107" s="10" t="str">
        <f t="shared" si="20"/>
        <v/>
      </c>
      <c r="E107" s="12" t="str">
        <f t="shared" si="29"/>
        <v/>
      </c>
      <c r="F107" s="12" t="str">
        <f>IF(AND(A106="",A108=""),"",IF(A107="",SUM($F$35:F106),IF(A107=$D$8,$E$34-SUM($F$35:F106),$F$30-G107)))</f>
        <v/>
      </c>
      <c r="G107" s="12" t="str">
        <f>IF(A106=$D$8,SUM($G$35:G106),IF(A106&gt;$D$8,"",E106*D107*$F$27/IF(OR(YEAR(C107)=2020,YEAR(C107)=2024),366,365)))</f>
        <v/>
      </c>
      <c r="H107" s="12" t="str">
        <f>IF(A106=$D$8,SUM($H$35:H106),IF(A106="","",(G107+F107)))</f>
        <v/>
      </c>
      <c r="I107" s="12"/>
      <c r="J107" s="12"/>
      <c r="K107" s="12"/>
      <c r="L107" s="12"/>
      <c r="M107" s="12" t="str">
        <f t="shared" si="30"/>
        <v/>
      </c>
      <c r="N107" s="12"/>
      <c r="O107" s="12"/>
      <c r="P107" s="12"/>
      <c r="Q107" s="51" t="str">
        <f>IF(A106=$D$8,XIRR(H$34:H106,C$34:C106),"")</f>
        <v/>
      </c>
      <c r="R107" s="12" t="str">
        <f t="shared" si="33"/>
        <v/>
      </c>
    </row>
    <row r="108" spans="1:18" x14ac:dyDescent="0.35">
      <c r="A108" s="10" t="str">
        <f t="shared" si="32"/>
        <v/>
      </c>
      <c r="B108" s="49">
        <f ca="1">EDATE($B$34,74)</f>
        <v>46478</v>
      </c>
      <c r="C108" s="11" t="str">
        <f t="shared" ca="1" si="28"/>
        <v/>
      </c>
      <c r="D108" s="10" t="str">
        <f t="shared" si="20"/>
        <v/>
      </c>
      <c r="E108" s="12" t="str">
        <f t="shared" si="29"/>
        <v/>
      </c>
      <c r="F108" s="12" t="str">
        <f>IF(AND(A107="",A109=""),"",IF(A108="",SUM($F$35:F107),IF(A108=$D$8,$E$34-SUM($F$35:F107),$F$30-G108)))</f>
        <v/>
      </c>
      <c r="G108" s="12" t="str">
        <f>IF(A107=$D$8,SUM($G$35:G107),IF(A107&gt;$D$8,"",E107*D108*$F$27/IF(OR(YEAR(C108)=2020,YEAR(C108)=2024),366,365)))</f>
        <v/>
      </c>
      <c r="H108" s="12" t="str">
        <f>IF(A107=$D$8,SUM($H$35:H107),IF(A107="","",(G108+F108)))</f>
        <v/>
      </c>
      <c r="I108" s="12"/>
      <c r="J108" s="12"/>
      <c r="K108" s="12"/>
      <c r="L108" s="12"/>
      <c r="M108" s="12" t="str">
        <f t="shared" si="30"/>
        <v/>
      </c>
      <c r="N108" s="12"/>
      <c r="O108" s="12"/>
      <c r="P108" s="12"/>
      <c r="Q108" s="51" t="str">
        <f>IF(A107=$D$8,XIRR(H$34:H107,C$34:C107),"")</f>
        <v/>
      </c>
      <c r="R108" s="12" t="str">
        <f t="shared" si="33"/>
        <v/>
      </c>
    </row>
    <row r="109" spans="1:18" x14ac:dyDescent="0.35">
      <c r="A109" s="10" t="str">
        <f t="shared" si="32"/>
        <v/>
      </c>
      <c r="B109" s="49">
        <f ca="1">EDATE($B$34,75)</f>
        <v>46508</v>
      </c>
      <c r="C109" s="11" t="str">
        <f t="shared" ca="1" si="28"/>
        <v/>
      </c>
      <c r="D109" s="10" t="str">
        <f t="shared" si="20"/>
        <v/>
      </c>
      <c r="E109" s="12" t="str">
        <f t="shared" si="29"/>
        <v/>
      </c>
      <c r="F109" s="12" t="str">
        <f>IF(AND(A108="",A110=""),"",IF(A109="",SUM($F$35:F108),IF(A109=$D$8,$E$34-SUM($F$35:F108),$F$30-G109)))</f>
        <v/>
      </c>
      <c r="G109" s="12" t="str">
        <f>IF(A108=$D$8,SUM($G$35:G108),IF(A108&gt;$D$8,"",E108*D109*$F$27/IF(OR(YEAR(C109)=2020,YEAR(C109)=2024),366,365)))</f>
        <v/>
      </c>
      <c r="H109" s="12" t="str">
        <f>IF(A108=$D$8,SUM($H$35:H108),IF(A108="","",(G109+F109)))</f>
        <v/>
      </c>
      <c r="I109" s="12"/>
      <c r="J109" s="12"/>
      <c r="K109" s="12"/>
      <c r="L109" s="12"/>
      <c r="M109" s="12" t="str">
        <f t="shared" si="30"/>
        <v/>
      </c>
      <c r="N109" s="12"/>
      <c r="O109" s="12"/>
      <c r="P109" s="12"/>
      <c r="Q109" s="51" t="str">
        <f>IF(A108=$D$8,XIRR(H$34:H108,C$34:C108),"")</f>
        <v/>
      </c>
      <c r="R109" s="12" t="str">
        <f t="shared" si="33"/>
        <v/>
      </c>
    </row>
    <row r="110" spans="1:18" x14ac:dyDescent="0.35">
      <c r="A110" s="10" t="str">
        <f t="shared" si="32"/>
        <v/>
      </c>
      <c r="B110" s="49">
        <f ca="1">EDATE($B$34,76)</f>
        <v>46539</v>
      </c>
      <c r="C110" s="11" t="str">
        <f t="shared" ca="1" si="28"/>
        <v/>
      </c>
      <c r="D110" s="10" t="str">
        <f t="shared" si="20"/>
        <v/>
      </c>
      <c r="E110" s="12" t="str">
        <f t="shared" si="29"/>
        <v/>
      </c>
      <c r="F110" s="12" t="str">
        <f>IF(AND(A109="",A111=""),"",IF(A110="",SUM($F$35:F109),IF(A110=$D$8,$E$34-SUM($F$35:F109),$F$30-G110)))</f>
        <v/>
      </c>
      <c r="G110" s="12" t="str">
        <f>IF(A109=$D$8,SUM($G$35:G109),IF(A109&gt;$D$8,"",E109*D110*$F$27/IF(OR(YEAR(C110)=2020,YEAR(C110)=2024),366,365)))</f>
        <v/>
      </c>
      <c r="H110" s="12" t="str">
        <f>IF(A109=$D$8,SUM($H$35:H109),IF(A109="","",(G110+F110)))</f>
        <v/>
      </c>
      <c r="I110" s="12"/>
      <c r="J110" s="12"/>
      <c r="K110" s="12"/>
      <c r="L110" s="12"/>
      <c r="M110" s="12" t="str">
        <f t="shared" si="30"/>
        <v/>
      </c>
      <c r="N110" s="12"/>
      <c r="O110" s="12"/>
      <c r="P110" s="12"/>
      <c r="Q110" s="51" t="str">
        <f>IF(A109=$D$8,XIRR(H$34:H109,C$34:C109),"")</f>
        <v/>
      </c>
      <c r="R110" s="12" t="str">
        <f t="shared" si="33"/>
        <v/>
      </c>
    </row>
    <row r="111" spans="1:18" x14ac:dyDescent="0.35">
      <c r="A111" s="10" t="str">
        <f t="shared" si="32"/>
        <v/>
      </c>
      <c r="B111" s="49">
        <f ca="1">EDATE($B$34,77)</f>
        <v>46569</v>
      </c>
      <c r="C111" s="11" t="str">
        <f t="shared" ca="1" si="28"/>
        <v/>
      </c>
      <c r="D111" s="10" t="str">
        <f t="shared" si="20"/>
        <v/>
      </c>
      <c r="E111" s="12" t="str">
        <f t="shared" ref="E111:E118" si="34">IF(A111&gt;$D$8,"",E110-F111)</f>
        <v/>
      </c>
      <c r="F111" s="12" t="str">
        <f>IF(AND(A110="",A112=""),"",IF(A111="",SUM($F$35:F110),IF(A111=$D$8,$E$34-SUM($F$35:F110),$F$30-G111)))</f>
        <v/>
      </c>
      <c r="G111" s="12" t="str">
        <f>IF(A110=$D$8,SUM($G$35:G110),IF(A110&gt;$D$8,"",E110*D111*$F$27/IF(OR(YEAR(C111)=2020,YEAR(C111)=2024),366,365)))</f>
        <v/>
      </c>
      <c r="H111" s="12" t="str">
        <f>IF(A110=$D$8,SUM($H$35:H110),IF(A110="","",(G111+F111)))</f>
        <v/>
      </c>
      <c r="I111" s="12"/>
      <c r="J111" s="12"/>
      <c r="K111" s="12"/>
      <c r="L111" s="12"/>
      <c r="M111" s="12" t="str">
        <f t="shared" si="30"/>
        <v/>
      </c>
      <c r="N111" s="12"/>
      <c r="O111" s="12"/>
      <c r="P111" s="12"/>
      <c r="Q111" s="51" t="str">
        <f>IF(A110=$D$8,XIRR(H$34:H110,C$34:C110),"")</f>
        <v/>
      </c>
      <c r="R111" s="12" t="str">
        <f t="shared" si="33"/>
        <v/>
      </c>
    </row>
    <row r="112" spans="1:18" x14ac:dyDescent="0.35">
      <c r="A112" s="10" t="str">
        <f t="shared" si="32"/>
        <v/>
      </c>
      <c r="B112" s="49">
        <f ca="1">EDATE($B$34,78)</f>
        <v>46600</v>
      </c>
      <c r="C112" s="11" t="str">
        <f t="shared" ca="1" si="28"/>
        <v/>
      </c>
      <c r="D112" s="10" t="str">
        <f t="shared" ref="D112:D118" si="35">IF(A112&gt;$D$8,"",C112-C111)</f>
        <v/>
      </c>
      <c r="E112" s="12" t="str">
        <f t="shared" si="34"/>
        <v/>
      </c>
      <c r="F112" s="12" t="str">
        <f>IF(AND(A111="",A113=""),"",IF(A112="",SUM($F$35:F111),IF(A112=$D$8,$E$34-SUM($F$35:F111),$F$30-G112)))</f>
        <v/>
      </c>
      <c r="G112" s="12" t="str">
        <f>IF(A111=$D$8,SUM($G$35:G111),IF(A111&gt;$D$8,"",E111*D112*$F$27/IF(OR(YEAR(C112)=2020,YEAR(C112)=2024),366,365)))</f>
        <v/>
      </c>
      <c r="H112" s="12" t="str">
        <f>IF(A111=$D$8,SUM($H$35:H111),IF(A111="","",(G112+F112)))</f>
        <v/>
      </c>
      <c r="I112" s="12"/>
      <c r="J112" s="12"/>
      <c r="K112" s="12"/>
      <c r="L112" s="12"/>
      <c r="M112" s="12" t="str">
        <f t="shared" ref="M112:M143" si="36">IF(A111=$F$8,$M$34,"")</f>
        <v/>
      </c>
      <c r="N112" s="12"/>
      <c r="O112" s="12"/>
      <c r="P112" s="12"/>
      <c r="Q112" s="51" t="str">
        <f>IF(A111=$D$8,XIRR(H$34:H111,C$34:C111),"")</f>
        <v/>
      </c>
      <c r="R112" s="12" t="str">
        <f t="shared" si="33"/>
        <v/>
      </c>
    </row>
    <row r="113" spans="1:18" x14ac:dyDescent="0.35">
      <c r="A113" s="10" t="str">
        <f t="shared" si="32"/>
        <v/>
      </c>
      <c r="B113" s="49">
        <f ca="1">EDATE($B$34,79)</f>
        <v>46631</v>
      </c>
      <c r="C113" s="11" t="str">
        <f t="shared" ca="1" si="28"/>
        <v/>
      </c>
      <c r="D113" s="10" t="str">
        <f t="shared" si="35"/>
        <v/>
      </c>
      <c r="E113" s="12" t="str">
        <f t="shared" si="34"/>
        <v/>
      </c>
      <c r="F113" s="12" t="str">
        <f>IF(AND(A112="",A114=""),"",IF(A113="",SUM($F$35:F112),IF(A113=$D$8,$E$34-SUM($F$35:F112),$F$30-G113)))</f>
        <v/>
      </c>
      <c r="G113" s="12" t="str">
        <f>IF(A112=$D$8,SUM($G$35:G112),IF(A112&gt;$D$8,"",E112*D113*$F$27/IF(OR(YEAR(C113)=2020,YEAR(C113)=2024),366,365)))</f>
        <v/>
      </c>
      <c r="H113" s="12" t="str">
        <f>IF(A112=$D$8,SUM($H$35:H112),IF(A112="","",(G113+F113)))</f>
        <v/>
      </c>
      <c r="I113" s="12"/>
      <c r="J113" s="12"/>
      <c r="K113" s="12"/>
      <c r="L113" s="12"/>
      <c r="M113" s="12" t="str">
        <f t="shared" si="36"/>
        <v/>
      </c>
      <c r="N113" s="12"/>
      <c r="O113" s="12"/>
      <c r="P113" s="12"/>
      <c r="Q113" s="51" t="str">
        <f>IF(A112=$D$8,XIRR(H$34:H112,C$34:C112),"")</f>
        <v/>
      </c>
      <c r="R113" s="12" t="str">
        <f t="shared" si="33"/>
        <v/>
      </c>
    </row>
    <row r="114" spans="1:18" x14ac:dyDescent="0.35">
      <c r="A114" s="10" t="str">
        <f t="shared" si="32"/>
        <v/>
      </c>
      <c r="B114" s="49">
        <f ca="1">EDATE($B$34,80)</f>
        <v>46661</v>
      </c>
      <c r="C114" s="11" t="str">
        <f t="shared" ca="1" si="28"/>
        <v/>
      </c>
      <c r="D114" s="10" t="str">
        <f t="shared" si="35"/>
        <v/>
      </c>
      <c r="E114" s="12" t="str">
        <f t="shared" si="34"/>
        <v/>
      </c>
      <c r="F114" s="12" t="str">
        <f>IF(AND(A113="",A115=""),"",IF(A114="",SUM($F$35:F113),IF(A114=$D$8,$E$34-SUM($F$35:F113),$F$30-G114)))</f>
        <v/>
      </c>
      <c r="G114" s="12" t="str">
        <f>IF(A113=$D$8,SUM($G$35:G113),IF(A113&gt;$D$8,"",E113*D114*$F$27/IF(OR(YEAR(C114)=2020,YEAR(C114)=2024),366,365)))</f>
        <v/>
      </c>
      <c r="H114" s="12" t="str">
        <f>IF(A113=$D$8,SUM($H$35:H113),IF(A113="","",(G114+F114)))</f>
        <v/>
      </c>
      <c r="I114" s="12"/>
      <c r="J114" s="12"/>
      <c r="K114" s="12"/>
      <c r="L114" s="12"/>
      <c r="M114" s="12" t="str">
        <f t="shared" si="36"/>
        <v/>
      </c>
      <c r="N114" s="12"/>
      <c r="O114" s="12"/>
      <c r="P114" s="12"/>
      <c r="Q114" s="51" t="str">
        <f>IF(A113=$D$8,XIRR(H$34:H113,C$34:C113),"")</f>
        <v/>
      </c>
      <c r="R114" s="12" t="str">
        <f t="shared" si="33"/>
        <v/>
      </c>
    </row>
    <row r="115" spans="1:18" x14ac:dyDescent="0.35">
      <c r="A115" s="10" t="str">
        <f t="shared" si="32"/>
        <v/>
      </c>
      <c r="B115" s="49">
        <f ca="1">EDATE($B$34,81)</f>
        <v>46692</v>
      </c>
      <c r="C115" s="11" t="str">
        <f t="shared" ca="1" si="28"/>
        <v/>
      </c>
      <c r="D115" s="10" t="str">
        <f t="shared" si="35"/>
        <v/>
      </c>
      <c r="E115" s="12" t="str">
        <f t="shared" si="34"/>
        <v/>
      </c>
      <c r="F115" s="12" t="str">
        <f>IF(AND(A114="",A116=""),"",IF(A115="",SUM($F$35:F114),IF(A115=$D$8,$E$34-SUM($F$35:F114),$F$30-G115)))</f>
        <v/>
      </c>
      <c r="G115" s="12" t="str">
        <f>IF(A114=$D$8,SUM($G$35:G114),IF(A114&gt;$D$8,"",E114*D115*$F$27/IF(OR(YEAR(C115)=2020,YEAR(C115)=2024),366,365)))</f>
        <v/>
      </c>
      <c r="H115" s="12" t="str">
        <f>IF(A114=$D$8,SUM($H$35:H114),IF(A114="","",(G115+F115)))</f>
        <v/>
      </c>
      <c r="I115" s="12"/>
      <c r="J115" s="12"/>
      <c r="K115" s="12"/>
      <c r="L115" s="12"/>
      <c r="M115" s="12" t="str">
        <f t="shared" si="36"/>
        <v/>
      </c>
      <c r="N115" s="12"/>
      <c r="O115" s="12"/>
      <c r="P115" s="12"/>
      <c r="Q115" s="51" t="str">
        <f>IF(A114=$D$8,XIRR(H$34:H114,C$34:C114),"")</f>
        <v/>
      </c>
      <c r="R115" s="12" t="str">
        <f t="shared" si="33"/>
        <v/>
      </c>
    </row>
    <row r="116" spans="1:18" x14ac:dyDescent="0.35">
      <c r="A116" s="10" t="str">
        <f t="shared" si="32"/>
        <v/>
      </c>
      <c r="B116" s="49">
        <f ca="1">EDATE($B$34,82)</f>
        <v>46722</v>
      </c>
      <c r="C116" s="11" t="str">
        <f t="shared" ca="1" si="28"/>
        <v/>
      </c>
      <c r="D116" s="10" t="str">
        <f t="shared" si="35"/>
        <v/>
      </c>
      <c r="E116" s="12" t="str">
        <f t="shared" si="34"/>
        <v/>
      </c>
      <c r="F116" s="12" t="str">
        <f>IF(AND(A115="",A117=""),"",IF(A116="",SUM($F$35:F115),IF(A116=$D$8,$E$34-SUM($F$35:F115),$F$30-G116)))</f>
        <v/>
      </c>
      <c r="G116" s="12" t="str">
        <f>IF(A115=$D$8,SUM($G$35:G115),IF(A115&gt;$D$8,"",E115*D116*$F$27/IF(OR(YEAR(C116)=2020,YEAR(C116)=2024),366,365)))</f>
        <v/>
      </c>
      <c r="H116" s="12" t="str">
        <f>IF(A115=$D$8,SUM($H$35:H115),IF(A115="","",(G116+F116)))</f>
        <v/>
      </c>
      <c r="I116" s="12"/>
      <c r="J116" s="12"/>
      <c r="K116" s="12"/>
      <c r="L116" s="12"/>
      <c r="M116" s="12" t="str">
        <f t="shared" si="36"/>
        <v/>
      </c>
      <c r="N116" s="12"/>
      <c r="O116" s="12"/>
      <c r="P116" s="12"/>
      <c r="Q116" s="51" t="str">
        <f>IF(A115=$D$8,XIRR(H$34:H115,C$34:C115),"")</f>
        <v/>
      </c>
      <c r="R116" s="12" t="str">
        <f t="shared" si="33"/>
        <v/>
      </c>
    </row>
    <row r="117" spans="1:18" x14ac:dyDescent="0.35">
      <c r="A117" s="10" t="str">
        <f t="shared" si="32"/>
        <v/>
      </c>
      <c r="B117" s="49">
        <f ca="1">EDATE($B$34,83)</f>
        <v>46753</v>
      </c>
      <c r="C117" s="11" t="str">
        <f t="shared" ca="1" si="28"/>
        <v/>
      </c>
      <c r="D117" s="10" t="str">
        <f t="shared" si="35"/>
        <v/>
      </c>
      <c r="E117" s="12" t="str">
        <f t="shared" si="34"/>
        <v/>
      </c>
      <c r="F117" s="12" t="str">
        <f>IF(AND(A116="",A118=""),"",IF(A117="",SUM($F$35:F116),IF(A117=$D$8,$E$34-SUM($F$35:F116),$F$30-G117)))</f>
        <v/>
      </c>
      <c r="G117" s="12" t="str">
        <f>IF(A116=$D$8,SUM($G$35:G116),IF(A116&gt;$D$8,"",E116*D117*$F$27/IF(OR(YEAR(C117)=2020,YEAR(C117)=2024),366,365)))</f>
        <v/>
      </c>
      <c r="H117" s="12" t="str">
        <f>IF(A116=$D$8,SUM($H$35:H116),IF(A116="","",(G117+F117)))</f>
        <v/>
      </c>
      <c r="I117" s="12"/>
      <c r="J117" s="12"/>
      <c r="K117" s="12"/>
      <c r="L117" s="12"/>
      <c r="M117" s="12" t="str">
        <f t="shared" si="36"/>
        <v/>
      </c>
      <c r="N117" s="12"/>
      <c r="O117" s="12"/>
      <c r="P117" s="12"/>
      <c r="Q117" s="51" t="str">
        <f>IF(A116=$D$8,XIRR(H$34:H116,C$34:C116),"")</f>
        <v/>
      </c>
      <c r="R117" s="12" t="str">
        <f t="shared" si="33"/>
        <v/>
      </c>
    </row>
    <row r="118" spans="1:18" x14ac:dyDescent="0.35">
      <c r="A118" s="10" t="str">
        <f t="shared" si="32"/>
        <v/>
      </c>
      <c r="B118" s="49">
        <f ca="1">EDATE($B$34,84)</f>
        <v>46784</v>
      </c>
      <c r="C118" s="11" t="str">
        <f t="shared" ca="1" si="28"/>
        <v/>
      </c>
      <c r="D118" s="10" t="str">
        <f t="shared" si="35"/>
        <v/>
      </c>
      <c r="E118" s="12" t="str">
        <f t="shared" si="34"/>
        <v/>
      </c>
      <c r="F118" s="12" t="str">
        <f>IF(AND(A117="",A119=""),"",IF(A118="",SUM($F$35:F117),IF(A118=$D$8,$E$34-SUM($F$35:F117),$F$30-G118)))</f>
        <v/>
      </c>
      <c r="G118" s="12" t="str">
        <f>IF(A117=$D$8,SUM($G$35:G117),IF(A117&gt;$D$8,"",E117*D118*$F$27/IF(OR(YEAR(C118)=2020,YEAR(C118)=2024),366,365)))</f>
        <v/>
      </c>
      <c r="H118" s="12" t="str">
        <f>IF(A117=$D$8,SUM($H$35:H117),IF(A117="","",(G118+F118)))</f>
        <v/>
      </c>
      <c r="I118" s="12"/>
      <c r="J118" s="12"/>
      <c r="K118" s="12"/>
      <c r="L118" s="12"/>
      <c r="M118" s="12" t="str">
        <f t="shared" si="36"/>
        <v/>
      </c>
      <c r="N118" s="12"/>
      <c r="O118" s="12"/>
      <c r="P118" s="12"/>
      <c r="Q118" s="51" t="str">
        <f>IF(A117=$D$8,XIRR(H$34:H117,C$34:C117),"")</f>
        <v/>
      </c>
      <c r="R118" s="12" t="str">
        <f t="shared" si="33"/>
        <v/>
      </c>
    </row>
    <row r="119" spans="1:18" x14ac:dyDescent="0.35">
      <c r="A119" s="10" t="str">
        <f t="shared" si="32"/>
        <v/>
      </c>
      <c r="F119" s="12" t="str">
        <f>IF(AND(A118="",A120=""),"",IF(A119="",SUM($F$35:F118),IF(A119=$D$8,$E$34-SUM($F$35:F118),$F$28-G119)))</f>
        <v/>
      </c>
      <c r="G119" s="12" t="str">
        <f>IF(A118=$D$8,SUM($G$35:G118),IF(A118&gt;$D$8,"",E118*D119*$D$9/IF(OR(YEAR(C119)=2020,YEAR(C119)=2024),366,365)))</f>
        <v/>
      </c>
      <c r="H119" s="12" t="str">
        <f>IF(A118=$D$8,SUM($H$35:H118),IF(A118="","",(G119+F119)))</f>
        <v/>
      </c>
      <c r="I119" s="12"/>
      <c r="J119" s="12"/>
      <c r="K119" s="12"/>
      <c r="L119" s="12"/>
      <c r="M119" s="12" t="str">
        <f t="shared" si="36"/>
        <v/>
      </c>
      <c r="N119" s="12"/>
      <c r="O119" s="12"/>
      <c r="P119" s="12"/>
      <c r="Q119" s="51" t="str">
        <f>IF(A118=$D$8,XIRR(H$34:H118,C$34:C118),"")</f>
        <v/>
      </c>
      <c r="R119" s="12" t="str">
        <f t="shared" si="33"/>
        <v/>
      </c>
    </row>
    <row r="120" spans="1:18" x14ac:dyDescent="0.35">
      <c r="A120" s="10" t="str">
        <f t="shared" si="32"/>
        <v/>
      </c>
      <c r="M120" s="12" t="str">
        <f t="shared" si="36"/>
        <v/>
      </c>
      <c r="N120" s="12"/>
      <c r="O120" s="12"/>
      <c r="P120" s="12"/>
    </row>
    <row r="121" spans="1:18" x14ac:dyDescent="0.35">
      <c r="A121" s="10" t="str">
        <f t="shared" si="32"/>
        <v/>
      </c>
      <c r="M121" s="12" t="str">
        <f t="shared" si="36"/>
        <v/>
      </c>
      <c r="N121" s="12"/>
      <c r="O121" s="12"/>
      <c r="P121" s="12"/>
    </row>
    <row r="122" spans="1:18" x14ac:dyDescent="0.35">
      <c r="A122" s="10" t="str">
        <f t="shared" si="32"/>
        <v/>
      </c>
      <c r="M122" s="12" t="str">
        <f t="shared" si="36"/>
        <v/>
      </c>
      <c r="N122" s="12"/>
      <c r="O122" s="12"/>
      <c r="P122" s="12"/>
    </row>
    <row r="123" spans="1:18" x14ac:dyDescent="0.35">
      <c r="M123" s="12" t="str">
        <f t="shared" si="36"/>
        <v/>
      </c>
      <c r="N123" s="12"/>
      <c r="O123" s="12"/>
      <c r="P123" s="12"/>
    </row>
    <row r="124" spans="1:18" x14ac:dyDescent="0.35">
      <c r="M124" s="12" t="str">
        <f t="shared" si="36"/>
        <v/>
      </c>
      <c r="N124" s="12"/>
      <c r="O124" s="12"/>
      <c r="P124" s="12"/>
    </row>
    <row r="125" spans="1:18" x14ac:dyDescent="0.35">
      <c r="M125" s="12" t="str">
        <f t="shared" si="36"/>
        <v/>
      </c>
      <c r="N125" s="12"/>
      <c r="O125" s="12"/>
      <c r="P125" s="12"/>
    </row>
    <row r="126" spans="1:18" x14ac:dyDescent="0.35">
      <c r="M126" s="12" t="str">
        <f t="shared" si="36"/>
        <v/>
      </c>
      <c r="N126" s="12"/>
      <c r="O126" s="12"/>
      <c r="P126" s="12"/>
    </row>
    <row r="127" spans="1:18" x14ac:dyDescent="0.35">
      <c r="M127" s="12" t="str">
        <f t="shared" si="36"/>
        <v/>
      </c>
      <c r="N127" s="12"/>
      <c r="O127" s="12"/>
      <c r="P127" s="12"/>
    </row>
    <row r="128" spans="1:18" x14ac:dyDescent="0.35">
      <c r="M128" s="12" t="str">
        <f t="shared" si="36"/>
        <v/>
      </c>
      <c r="N128" s="12"/>
      <c r="O128" s="12"/>
      <c r="P128" s="12"/>
    </row>
    <row r="129" spans="13:16" x14ac:dyDescent="0.35">
      <c r="M129" s="12" t="str">
        <f t="shared" si="36"/>
        <v/>
      </c>
      <c r="N129" s="12"/>
      <c r="O129" s="12"/>
      <c r="P129" s="12"/>
    </row>
    <row r="130" spans="13:16" x14ac:dyDescent="0.35">
      <c r="M130" s="12" t="str">
        <f t="shared" si="36"/>
        <v/>
      </c>
      <c r="N130" s="12"/>
      <c r="O130" s="12"/>
      <c r="P130" s="12"/>
    </row>
    <row r="131" spans="13:16" x14ac:dyDescent="0.35">
      <c r="M131" s="12" t="str">
        <f t="shared" si="36"/>
        <v/>
      </c>
      <c r="N131" s="12"/>
      <c r="O131" s="12"/>
      <c r="P131" s="12"/>
    </row>
    <row r="132" spans="13:16" x14ac:dyDescent="0.35">
      <c r="M132" s="12" t="str">
        <f t="shared" si="36"/>
        <v/>
      </c>
      <c r="N132" s="12"/>
      <c r="O132" s="12"/>
      <c r="P132" s="12"/>
    </row>
    <row r="133" spans="13:16" x14ac:dyDescent="0.35">
      <c r="M133" s="12" t="str">
        <f t="shared" si="36"/>
        <v/>
      </c>
      <c r="N133" s="12"/>
      <c r="O133" s="12"/>
      <c r="P133" s="12"/>
    </row>
    <row r="134" spans="13:16" x14ac:dyDescent="0.35">
      <c r="M134" s="12" t="str">
        <f t="shared" si="36"/>
        <v/>
      </c>
      <c r="N134" s="12"/>
      <c r="O134" s="12"/>
      <c r="P134" s="12"/>
    </row>
    <row r="135" spans="13:16" x14ac:dyDescent="0.35">
      <c r="M135" s="12" t="str">
        <f t="shared" si="36"/>
        <v/>
      </c>
      <c r="N135" s="12"/>
      <c r="O135" s="12"/>
      <c r="P135" s="12"/>
    </row>
    <row r="136" spans="13:16" x14ac:dyDescent="0.35">
      <c r="M136" s="12" t="str">
        <f t="shared" si="36"/>
        <v/>
      </c>
      <c r="N136" s="12"/>
      <c r="O136" s="12"/>
      <c r="P136" s="12"/>
    </row>
    <row r="137" spans="13:16" x14ac:dyDescent="0.35">
      <c r="M137" s="12" t="str">
        <f t="shared" si="36"/>
        <v/>
      </c>
      <c r="N137" s="12"/>
      <c r="O137" s="12"/>
      <c r="P137" s="12"/>
    </row>
    <row r="138" spans="13:16" x14ac:dyDescent="0.35">
      <c r="M138" s="12" t="str">
        <f t="shared" si="36"/>
        <v/>
      </c>
      <c r="N138" s="12"/>
      <c r="O138" s="12"/>
      <c r="P138" s="12"/>
    </row>
    <row r="139" spans="13:16" x14ac:dyDescent="0.35">
      <c r="M139" s="12" t="str">
        <f t="shared" si="36"/>
        <v/>
      </c>
      <c r="N139" s="12"/>
      <c r="O139" s="12"/>
      <c r="P139" s="12"/>
    </row>
    <row r="140" spans="13:16" x14ac:dyDescent="0.35">
      <c r="M140" s="12" t="str">
        <f t="shared" si="36"/>
        <v/>
      </c>
      <c r="N140" s="12"/>
      <c r="O140" s="12"/>
      <c r="P140" s="12"/>
    </row>
    <row r="141" spans="13:16" x14ac:dyDescent="0.35">
      <c r="M141" s="12" t="str">
        <f t="shared" si="36"/>
        <v/>
      </c>
      <c r="N141" s="12"/>
      <c r="O141" s="12"/>
      <c r="P141" s="12"/>
    </row>
    <row r="142" spans="13:16" x14ac:dyDescent="0.35">
      <c r="M142" s="12" t="str">
        <f t="shared" si="36"/>
        <v/>
      </c>
      <c r="N142" s="12"/>
      <c r="O142" s="12"/>
      <c r="P142" s="12"/>
    </row>
    <row r="143" spans="13:16" x14ac:dyDescent="0.35">
      <c r="M143" s="12" t="str">
        <f t="shared" si="36"/>
        <v/>
      </c>
      <c r="N143" s="12"/>
      <c r="O143" s="12"/>
      <c r="P143" s="12"/>
    </row>
    <row r="144" spans="13:16" x14ac:dyDescent="0.35">
      <c r="M144" s="12" t="str">
        <f t="shared" ref="M144:M166" si="37">IF(A143=$F$8,$M$34,"")</f>
        <v/>
      </c>
      <c r="N144" s="12"/>
      <c r="O144" s="12"/>
      <c r="P144" s="12"/>
    </row>
    <row r="145" spans="13:16" x14ac:dyDescent="0.35">
      <c r="M145" s="12" t="str">
        <f t="shared" si="37"/>
        <v/>
      </c>
      <c r="N145" s="12"/>
      <c r="O145" s="12"/>
      <c r="P145" s="12"/>
    </row>
    <row r="146" spans="13:16" x14ac:dyDescent="0.35">
      <c r="M146" s="12" t="str">
        <f t="shared" si="37"/>
        <v/>
      </c>
      <c r="N146" s="12"/>
      <c r="O146" s="12"/>
      <c r="P146" s="12"/>
    </row>
    <row r="147" spans="13:16" x14ac:dyDescent="0.35">
      <c r="M147" s="12" t="str">
        <f t="shared" si="37"/>
        <v/>
      </c>
      <c r="N147" s="12"/>
      <c r="O147" s="12"/>
      <c r="P147" s="12"/>
    </row>
    <row r="148" spans="13:16" x14ac:dyDescent="0.35">
      <c r="M148" s="12" t="str">
        <f t="shared" si="37"/>
        <v/>
      </c>
      <c r="N148" s="12"/>
      <c r="O148" s="12"/>
      <c r="P148" s="12"/>
    </row>
    <row r="149" spans="13:16" x14ac:dyDescent="0.35">
      <c r="M149" s="12" t="str">
        <f t="shared" si="37"/>
        <v/>
      </c>
      <c r="N149" s="12"/>
      <c r="O149" s="12"/>
      <c r="P149" s="12"/>
    </row>
    <row r="150" spans="13:16" x14ac:dyDescent="0.35">
      <c r="M150" s="12" t="str">
        <f t="shared" si="37"/>
        <v/>
      </c>
      <c r="N150" s="12"/>
      <c r="O150" s="12"/>
      <c r="P150" s="12"/>
    </row>
    <row r="151" spans="13:16" x14ac:dyDescent="0.35">
      <c r="M151" s="12" t="str">
        <f t="shared" si="37"/>
        <v/>
      </c>
      <c r="N151" s="12"/>
      <c r="O151" s="12"/>
      <c r="P151" s="12"/>
    </row>
    <row r="152" spans="13:16" x14ac:dyDescent="0.35">
      <c r="M152" s="12" t="str">
        <f t="shared" si="37"/>
        <v/>
      </c>
      <c r="N152" s="12"/>
      <c r="O152" s="12"/>
      <c r="P152" s="12"/>
    </row>
    <row r="153" spans="13:16" x14ac:dyDescent="0.35">
      <c r="M153" s="12" t="str">
        <f t="shared" si="37"/>
        <v/>
      </c>
      <c r="N153" s="12"/>
      <c r="O153" s="12"/>
      <c r="P153" s="12"/>
    </row>
    <row r="154" spans="13:16" x14ac:dyDescent="0.35">
      <c r="M154" s="12" t="str">
        <f t="shared" si="37"/>
        <v/>
      </c>
      <c r="N154" s="12"/>
      <c r="O154" s="12"/>
      <c r="P154" s="12"/>
    </row>
    <row r="155" spans="13:16" x14ac:dyDescent="0.35">
      <c r="M155" s="12" t="str">
        <f t="shared" si="37"/>
        <v/>
      </c>
      <c r="N155" s="12"/>
      <c r="O155" s="12"/>
      <c r="P155" s="12"/>
    </row>
    <row r="156" spans="13:16" x14ac:dyDescent="0.35">
      <c r="M156" s="12" t="str">
        <f t="shared" si="37"/>
        <v/>
      </c>
      <c r="N156" s="12"/>
      <c r="O156" s="12"/>
      <c r="P156" s="12"/>
    </row>
    <row r="157" spans="13:16" x14ac:dyDescent="0.35">
      <c r="M157" s="12" t="str">
        <f t="shared" si="37"/>
        <v/>
      </c>
      <c r="N157" s="12"/>
      <c r="O157" s="12"/>
      <c r="P157" s="12"/>
    </row>
    <row r="158" spans="13:16" x14ac:dyDescent="0.35">
      <c r="M158" s="12" t="str">
        <f t="shared" si="37"/>
        <v/>
      </c>
      <c r="N158" s="12"/>
      <c r="O158" s="12"/>
      <c r="P158" s="12"/>
    </row>
    <row r="159" spans="13:16" x14ac:dyDescent="0.35">
      <c r="M159" s="12" t="str">
        <f t="shared" si="37"/>
        <v/>
      </c>
      <c r="N159" s="12"/>
      <c r="O159" s="12"/>
      <c r="P159" s="12"/>
    </row>
    <row r="160" spans="13:16" x14ac:dyDescent="0.35">
      <c r="M160" s="12" t="str">
        <f t="shared" si="37"/>
        <v/>
      </c>
      <c r="N160" s="12"/>
      <c r="O160" s="12"/>
      <c r="P160" s="12"/>
    </row>
    <row r="161" spans="13:16" x14ac:dyDescent="0.35">
      <c r="M161" s="12" t="str">
        <f t="shared" si="37"/>
        <v/>
      </c>
      <c r="N161" s="12"/>
      <c r="O161" s="12"/>
      <c r="P161" s="12"/>
    </row>
    <row r="162" spans="13:16" x14ac:dyDescent="0.35">
      <c r="M162" s="12" t="str">
        <f t="shared" si="37"/>
        <v/>
      </c>
      <c r="N162" s="12"/>
      <c r="O162" s="12"/>
      <c r="P162" s="12"/>
    </row>
    <row r="163" spans="13:16" x14ac:dyDescent="0.35">
      <c r="M163" s="12" t="str">
        <f t="shared" si="37"/>
        <v/>
      </c>
      <c r="N163" s="12"/>
      <c r="O163" s="12"/>
      <c r="P163" s="12"/>
    </row>
    <row r="164" spans="13:16" x14ac:dyDescent="0.35">
      <c r="M164" s="12" t="str">
        <f t="shared" si="37"/>
        <v/>
      </c>
      <c r="N164" s="12"/>
      <c r="O164" s="12"/>
      <c r="P164" s="12"/>
    </row>
    <row r="165" spans="13:16" x14ac:dyDescent="0.35">
      <c r="M165" s="12" t="str">
        <f t="shared" si="37"/>
        <v/>
      </c>
      <c r="N165" s="12"/>
      <c r="O165" s="12"/>
      <c r="P165" s="12"/>
    </row>
    <row r="166" spans="13:16" x14ac:dyDescent="0.35">
      <c r="M166" s="12" t="str">
        <f t="shared" si="37"/>
        <v/>
      </c>
      <c r="N166" s="12"/>
      <c r="O166" s="12"/>
      <c r="P166" s="12"/>
    </row>
    <row r="167" spans="13:16" x14ac:dyDescent="0.35">
      <c r="M167" s="12" t="str">
        <f t="shared" ref="M167:M196" si="38">IF(A167=$F$8,$M$34,"")</f>
        <v/>
      </c>
      <c r="N167" s="12"/>
      <c r="O167" s="12"/>
      <c r="P167" s="12"/>
    </row>
    <row r="168" spans="13:16" x14ac:dyDescent="0.35">
      <c r="M168" s="12" t="str">
        <f t="shared" si="38"/>
        <v/>
      </c>
      <c r="N168" s="12"/>
      <c r="O168" s="12"/>
      <c r="P168" s="12"/>
    </row>
    <row r="169" spans="13:16" x14ac:dyDescent="0.35">
      <c r="M169" s="12" t="str">
        <f t="shared" si="38"/>
        <v/>
      </c>
      <c r="N169" s="12"/>
      <c r="O169" s="12"/>
      <c r="P169" s="12"/>
    </row>
    <row r="170" spans="13:16" x14ac:dyDescent="0.35">
      <c r="M170" s="12" t="str">
        <f t="shared" si="38"/>
        <v/>
      </c>
      <c r="N170" s="12"/>
      <c r="O170" s="12"/>
      <c r="P170" s="12"/>
    </row>
    <row r="171" spans="13:16" x14ac:dyDescent="0.35">
      <c r="M171" s="12" t="str">
        <f t="shared" si="38"/>
        <v/>
      </c>
      <c r="N171" s="12"/>
      <c r="O171" s="12"/>
      <c r="P171" s="12"/>
    </row>
    <row r="172" spans="13:16" x14ac:dyDescent="0.35">
      <c r="M172" s="12" t="str">
        <f t="shared" si="38"/>
        <v/>
      </c>
      <c r="N172" s="12"/>
      <c r="O172" s="12"/>
      <c r="P172" s="12"/>
    </row>
    <row r="173" spans="13:16" x14ac:dyDescent="0.35">
      <c r="M173" s="12" t="str">
        <f t="shared" si="38"/>
        <v/>
      </c>
      <c r="N173" s="12"/>
      <c r="O173" s="12"/>
      <c r="P173" s="12"/>
    </row>
    <row r="174" spans="13:16" x14ac:dyDescent="0.35">
      <c r="M174" s="12" t="str">
        <f t="shared" si="38"/>
        <v/>
      </c>
      <c r="N174" s="12"/>
      <c r="O174" s="12"/>
      <c r="P174" s="12"/>
    </row>
    <row r="175" spans="13:16" x14ac:dyDescent="0.35">
      <c r="M175" s="12" t="str">
        <f t="shared" si="38"/>
        <v/>
      </c>
      <c r="N175" s="12"/>
      <c r="O175" s="12"/>
      <c r="P175" s="12"/>
    </row>
    <row r="176" spans="13:16" x14ac:dyDescent="0.35">
      <c r="M176" s="12" t="str">
        <f t="shared" si="38"/>
        <v/>
      </c>
      <c r="N176" s="12"/>
      <c r="O176" s="12"/>
      <c r="P176" s="12"/>
    </row>
    <row r="177" spans="13:16" x14ac:dyDescent="0.35">
      <c r="M177" s="12" t="str">
        <f t="shared" si="38"/>
        <v/>
      </c>
      <c r="N177" s="12"/>
      <c r="O177" s="12"/>
      <c r="P177" s="12"/>
    </row>
    <row r="178" spans="13:16" x14ac:dyDescent="0.35">
      <c r="M178" s="12" t="str">
        <f t="shared" si="38"/>
        <v/>
      </c>
      <c r="N178" s="12"/>
      <c r="O178" s="12"/>
      <c r="P178" s="12"/>
    </row>
    <row r="179" spans="13:16" x14ac:dyDescent="0.35">
      <c r="M179" s="12" t="str">
        <f t="shared" si="38"/>
        <v/>
      </c>
      <c r="N179" s="12"/>
      <c r="O179" s="12"/>
      <c r="P179" s="12"/>
    </row>
    <row r="180" spans="13:16" x14ac:dyDescent="0.35">
      <c r="M180" s="12" t="str">
        <f t="shared" si="38"/>
        <v/>
      </c>
      <c r="N180" s="12"/>
      <c r="O180" s="12"/>
      <c r="P180" s="12"/>
    </row>
    <row r="181" spans="13:16" x14ac:dyDescent="0.35">
      <c r="M181" s="12" t="str">
        <f t="shared" si="38"/>
        <v/>
      </c>
      <c r="N181" s="12"/>
      <c r="O181" s="12"/>
      <c r="P181" s="12"/>
    </row>
    <row r="182" spans="13:16" x14ac:dyDescent="0.35">
      <c r="M182" s="12" t="str">
        <f t="shared" si="38"/>
        <v/>
      </c>
      <c r="N182" s="12"/>
      <c r="O182" s="12"/>
      <c r="P182" s="12"/>
    </row>
    <row r="183" spans="13:16" x14ac:dyDescent="0.35">
      <c r="M183" s="12" t="str">
        <f t="shared" si="38"/>
        <v/>
      </c>
      <c r="N183" s="12"/>
      <c r="O183" s="12"/>
      <c r="P183" s="12"/>
    </row>
    <row r="184" spans="13:16" x14ac:dyDescent="0.35">
      <c r="M184" s="12" t="str">
        <f t="shared" si="38"/>
        <v/>
      </c>
      <c r="N184" s="12"/>
      <c r="O184" s="12"/>
      <c r="P184" s="12"/>
    </row>
    <row r="185" spans="13:16" x14ac:dyDescent="0.35">
      <c r="M185" s="12" t="str">
        <f t="shared" si="38"/>
        <v/>
      </c>
      <c r="N185" s="12"/>
      <c r="O185" s="12"/>
      <c r="P185" s="12"/>
    </row>
    <row r="186" spans="13:16" x14ac:dyDescent="0.35">
      <c r="M186" s="12" t="str">
        <f t="shared" si="38"/>
        <v/>
      </c>
      <c r="N186" s="12"/>
      <c r="O186" s="12"/>
      <c r="P186" s="12"/>
    </row>
    <row r="187" spans="13:16" x14ac:dyDescent="0.35">
      <c r="M187" s="12" t="str">
        <f t="shared" si="38"/>
        <v/>
      </c>
      <c r="N187" s="12"/>
      <c r="O187" s="12"/>
      <c r="P187" s="12"/>
    </row>
    <row r="188" spans="13:16" x14ac:dyDescent="0.35">
      <c r="M188" s="12" t="str">
        <f t="shared" si="38"/>
        <v/>
      </c>
      <c r="N188" s="12"/>
      <c r="O188" s="12"/>
      <c r="P188" s="12"/>
    </row>
    <row r="189" spans="13:16" x14ac:dyDescent="0.35">
      <c r="M189" s="12" t="str">
        <f t="shared" si="38"/>
        <v/>
      </c>
      <c r="N189" s="12"/>
      <c r="O189" s="12"/>
      <c r="P189" s="12"/>
    </row>
    <row r="190" spans="13:16" x14ac:dyDescent="0.35">
      <c r="M190" s="12" t="str">
        <f t="shared" si="38"/>
        <v/>
      </c>
      <c r="N190" s="12"/>
      <c r="O190" s="12"/>
      <c r="P190" s="12"/>
    </row>
    <row r="191" spans="13:16" x14ac:dyDescent="0.35">
      <c r="M191" s="12" t="str">
        <f t="shared" si="38"/>
        <v/>
      </c>
      <c r="N191" s="12"/>
      <c r="O191" s="12"/>
      <c r="P191" s="12"/>
    </row>
    <row r="192" spans="13:16" x14ac:dyDescent="0.35">
      <c r="M192" s="12" t="str">
        <f t="shared" si="38"/>
        <v/>
      </c>
      <c r="N192" s="12"/>
      <c r="O192" s="12"/>
      <c r="P192" s="12"/>
    </row>
    <row r="193" spans="13:16" x14ac:dyDescent="0.35">
      <c r="M193" s="12" t="str">
        <f t="shared" si="38"/>
        <v/>
      </c>
      <c r="N193" s="12"/>
      <c r="O193" s="12"/>
      <c r="P193" s="12"/>
    </row>
    <row r="194" spans="13:16" x14ac:dyDescent="0.35">
      <c r="M194" s="12" t="str">
        <f t="shared" si="38"/>
        <v/>
      </c>
      <c r="N194" s="12"/>
      <c r="O194" s="12"/>
      <c r="P194" s="12"/>
    </row>
    <row r="195" spans="13:16" x14ac:dyDescent="0.35">
      <c r="M195" s="12" t="str">
        <f t="shared" si="38"/>
        <v/>
      </c>
      <c r="N195" s="12"/>
      <c r="O195" s="12"/>
      <c r="P195" s="12"/>
    </row>
    <row r="196" spans="13:16" x14ac:dyDescent="0.35">
      <c r="M196" s="12" t="str">
        <f t="shared" si="38"/>
        <v/>
      </c>
      <c r="N196" s="12"/>
      <c r="O196" s="12"/>
      <c r="P196" s="12"/>
    </row>
  </sheetData>
  <sheetProtection algorithmName="SHA-512" hashValue="6uvT9Pv9d88YNiuDCt3u86WPJ2OGu5u3zaq3BUxKZOnA5C9DNg7pg97Bl23AfZVwAHwwacdJQ4At1mxrsPeFmw==" saltValue="JIoHvvwqVZCnjD+Ed3eX0w==" spinCount="100000" sheet="1" objects="1" scenarios="1"/>
  <protectedRanges>
    <protectedRange password="C797" sqref="B35:B118" name="Диапазон1_1"/>
    <protectedRange password="C797" sqref="Q32:R33" name="Диапазон1"/>
    <protectedRange password="C797" sqref="S32:S94" name="Диапазон1_2"/>
  </protectedRanges>
  <mergeCells count="24">
    <mergeCell ref="I32:L32"/>
    <mergeCell ref="H10:M10"/>
    <mergeCell ref="P10:Q10"/>
    <mergeCell ref="H11:M11"/>
    <mergeCell ref="P11:Q11"/>
    <mergeCell ref="H12:H16"/>
    <mergeCell ref="P12:Q12"/>
    <mergeCell ref="P13:Q13"/>
    <mergeCell ref="P16:Q16"/>
    <mergeCell ref="P17:Q17"/>
    <mergeCell ref="H17:H18"/>
    <mergeCell ref="N18:O18"/>
    <mergeCell ref="P18:Q18"/>
    <mergeCell ref="A1:R1"/>
    <mergeCell ref="H3:M3"/>
    <mergeCell ref="H4:M4"/>
    <mergeCell ref="H5:Q5"/>
    <mergeCell ref="H6:M6"/>
    <mergeCell ref="P9:Q9"/>
    <mergeCell ref="N14:O14"/>
    <mergeCell ref="N15:O15"/>
    <mergeCell ref="N17:O17"/>
    <mergeCell ref="P7:Q7"/>
    <mergeCell ref="P8:Q8"/>
  </mergeCells>
  <dataValidations count="1">
    <dataValidation type="list" allowBlank="1" showInputMessage="1" showErrorMessage="1" sqref="R8">
      <formula1>$S$8:$S$9</formula1>
    </dataValidation>
  </dataValidations>
  <pageMargins left="0.7" right="0.7" top="0.75" bottom="0.75" header="0.3" footer="0.3"/>
  <pageSetup paperSize="9" scale="43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5"/>
  <sheetViews>
    <sheetView topLeftCell="A21" workbookViewId="0">
      <selection activeCell="A31" sqref="A31:C31"/>
    </sheetView>
  </sheetViews>
  <sheetFormatPr defaultRowHeight="14.5" x14ac:dyDescent="0.35"/>
  <cols>
    <col min="1" max="1" width="45.54296875" style="2" customWidth="1"/>
    <col min="2" max="2" width="6.54296875" style="2" customWidth="1"/>
    <col min="3" max="3" width="60" style="2" customWidth="1"/>
    <col min="4" max="5" width="9.1796875" style="183"/>
  </cols>
  <sheetData>
    <row r="1" spans="1:5" ht="15" thickBot="1" x14ac:dyDescent="0.4">
      <c r="A1" s="250" t="s">
        <v>0</v>
      </c>
      <c r="B1" s="251"/>
      <c r="C1" s="251"/>
    </row>
    <row r="2" spans="1:5" ht="15" customHeight="1" x14ac:dyDescent="0.35">
      <c r="A2" s="252" t="s">
        <v>1</v>
      </c>
      <c r="B2" s="255" t="s">
        <v>99</v>
      </c>
      <c r="C2" s="256"/>
    </row>
    <row r="3" spans="1:5" ht="15" thickBot="1" x14ac:dyDescent="0.4">
      <c r="A3" s="253"/>
      <c r="B3" s="257"/>
      <c r="C3" s="258"/>
    </row>
    <row r="4" spans="1:5" ht="15" thickBot="1" x14ac:dyDescent="0.4">
      <c r="A4" s="254"/>
      <c r="B4" s="248" t="str">
        <f>паспорт!D5</f>
        <v xml:space="preserve">Відділення «Буковинська обласна дирекція» </v>
      </c>
      <c r="C4" s="249"/>
      <c r="E4" s="230" t="s">
        <v>520</v>
      </c>
    </row>
    <row r="5" spans="1:5" ht="15" customHeight="1" x14ac:dyDescent="0.35">
      <c r="A5" s="252" t="s">
        <v>2</v>
      </c>
      <c r="B5" s="255" t="s">
        <v>3</v>
      </c>
      <c r="C5" s="256"/>
    </row>
    <row r="6" spans="1:5" x14ac:dyDescent="0.35">
      <c r="A6" s="253"/>
      <c r="B6" s="261" t="s">
        <v>4</v>
      </c>
      <c r="C6" s="262"/>
    </row>
    <row r="7" spans="1:5" ht="15" thickBot="1" x14ac:dyDescent="0.4">
      <c r="A7" s="254"/>
      <c r="B7" s="333" t="str">
        <f>паспорт!B8</f>
        <v xml:space="preserve">58002, м. Чернівці, 
вул. Івана Франка,1 </v>
      </c>
      <c r="C7" s="334"/>
    </row>
    <row r="8" spans="1:5" x14ac:dyDescent="0.35">
      <c r="A8" s="265" t="s">
        <v>5</v>
      </c>
      <c r="B8" s="267" t="s">
        <v>6</v>
      </c>
      <c r="C8" s="268"/>
    </row>
    <row r="9" spans="1:5" ht="15" thickBot="1" x14ac:dyDescent="0.4">
      <c r="A9" s="266"/>
      <c r="B9" s="269" t="s">
        <v>100</v>
      </c>
      <c r="C9" s="270"/>
    </row>
    <row r="10" spans="1:5" ht="15" thickBot="1" x14ac:dyDescent="0.4">
      <c r="A10" s="205" t="s">
        <v>7</v>
      </c>
      <c r="B10" s="248" t="s">
        <v>8</v>
      </c>
      <c r="C10" s="249"/>
    </row>
    <row r="11" spans="1:5" ht="15" thickBot="1" x14ac:dyDescent="0.4">
      <c r="A11" s="205" t="s">
        <v>9</v>
      </c>
      <c r="B11" s="248" t="s">
        <v>10</v>
      </c>
      <c r="C11" s="249"/>
    </row>
    <row r="12" spans="1:5" ht="15" thickBot="1" x14ac:dyDescent="0.4">
      <c r="A12" s="205" t="s">
        <v>11</v>
      </c>
      <c r="B12" s="248" t="s">
        <v>12</v>
      </c>
      <c r="C12" s="249"/>
    </row>
    <row r="13" spans="1:5" ht="15.75" customHeight="1" thickBot="1" x14ac:dyDescent="0.4">
      <c r="A13" s="271" t="s">
        <v>13</v>
      </c>
      <c r="B13" s="272"/>
      <c r="C13" s="273"/>
    </row>
    <row r="14" spans="1:5" ht="15.75" customHeight="1" thickBot="1" x14ac:dyDescent="0.4">
      <c r="A14" s="206" t="s">
        <v>146</v>
      </c>
      <c r="B14" s="282" t="s">
        <v>147</v>
      </c>
      <c r="C14" s="283"/>
    </row>
    <row r="15" spans="1:5" ht="15.75" customHeight="1" thickBot="1" x14ac:dyDescent="0.4">
      <c r="A15" s="206" t="s">
        <v>148</v>
      </c>
      <c r="B15" s="284"/>
      <c r="C15" s="285"/>
    </row>
    <row r="16" spans="1:5" ht="15.75" customHeight="1" thickBot="1" x14ac:dyDescent="0.4">
      <c r="A16" s="206" t="s">
        <v>7</v>
      </c>
      <c r="B16" s="284"/>
      <c r="C16" s="285"/>
    </row>
    <row r="17" spans="1:5" ht="15.75" customHeight="1" thickBot="1" x14ac:dyDescent="0.4">
      <c r="A17" s="206" t="s">
        <v>9</v>
      </c>
      <c r="B17" s="284"/>
      <c r="C17" s="285"/>
    </row>
    <row r="18" spans="1:5" ht="15.75" customHeight="1" thickBot="1" x14ac:dyDescent="0.4">
      <c r="A18" s="206" t="s">
        <v>149</v>
      </c>
      <c r="B18" s="286"/>
      <c r="C18" s="287"/>
    </row>
    <row r="19" spans="1:5" ht="15.75" customHeight="1" thickBot="1" x14ac:dyDescent="0.4">
      <c r="A19" s="271" t="s">
        <v>14</v>
      </c>
      <c r="B19" s="272"/>
      <c r="C19" s="273"/>
    </row>
    <row r="20" spans="1:5" ht="15" thickBot="1" x14ac:dyDescent="0.4">
      <c r="A20" s="205" t="s">
        <v>15</v>
      </c>
      <c r="B20" s="248" t="s">
        <v>72</v>
      </c>
      <c r="C20" s="249"/>
    </row>
    <row r="21" spans="1:5" ht="15" thickBot="1" x14ac:dyDescent="0.4">
      <c r="A21" s="205" t="s">
        <v>16</v>
      </c>
      <c r="B21" s="274">
        <f>'график с повышеной%'!F7</f>
        <v>1000000</v>
      </c>
      <c r="C21" s="275"/>
    </row>
    <row r="22" spans="1:5" ht="15" thickBot="1" x14ac:dyDescent="0.4">
      <c r="A22" s="205" t="s">
        <v>144</v>
      </c>
      <c r="B22" s="248" t="str">
        <f>CONCATENATE(E22,D22)</f>
        <v>60 міс.</v>
      </c>
      <c r="C22" s="249"/>
      <c r="D22" s="183" t="s">
        <v>150</v>
      </c>
      <c r="E22" s="183">
        <f>'график с повышеной%'!F8</f>
        <v>60</v>
      </c>
    </row>
    <row r="23" spans="1:5" x14ac:dyDescent="0.35">
      <c r="A23" s="276" t="s">
        <v>17</v>
      </c>
      <c r="B23" s="278" t="s">
        <v>114</v>
      </c>
      <c r="C23" s="279"/>
    </row>
    <row r="24" spans="1:5" ht="15" thickBot="1" x14ac:dyDescent="0.4">
      <c r="A24" s="277"/>
      <c r="B24" s="280"/>
      <c r="C24" s="281"/>
    </row>
    <row r="25" spans="1:5" ht="27" customHeight="1" thickBot="1" x14ac:dyDescent="0.4">
      <c r="A25" s="207" t="s">
        <v>18</v>
      </c>
      <c r="B25" s="248" t="s">
        <v>115</v>
      </c>
      <c r="C25" s="249"/>
    </row>
    <row r="26" spans="1:5" ht="15" thickBot="1" x14ac:dyDescent="0.4">
      <c r="A26" s="208" t="s">
        <v>19</v>
      </c>
      <c r="B26" s="248" t="s">
        <v>118</v>
      </c>
      <c r="C26" s="249"/>
    </row>
    <row r="27" spans="1:5" ht="15" thickBot="1" x14ac:dyDescent="0.4">
      <c r="A27" s="208" t="s">
        <v>20</v>
      </c>
      <c r="B27" s="248" t="s">
        <v>21</v>
      </c>
      <c r="C27" s="249"/>
    </row>
    <row r="28" spans="1:5" ht="20.25" customHeight="1" x14ac:dyDescent="0.35">
      <c r="A28" s="252" t="s">
        <v>22</v>
      </c>
      <c r="B28" s="278" t="s">
        <v>108</v>
      </c>
      <c r="C28" s="279"/>
    </row>
    <row r="29" spans="1:5" ht="15" thickBot="1" x14ac:dyDescent="0.4">
      <c r="A29" s="253"/>
      <c r="B29" s="280"/>
      <c r="C29" s="281"/>
    </row>
    <row r="30" spans="1:5" ht="19.5" customHeight="1" thickBot="1" x14ac:dyDescent="0.4">
      <c r="A30" s="271" t="s">
        <v>145</v>
      </c>
      <c r="B30" s="272"/>
      <c r="C30" s="273"/>
    </row>
    <row r="31" spans="1:5" ht="19.5" customHeight="1" thickBot="1" x14ac:dyDescent="0.4">
      <c r="A31" s="209" t="s">
        <v>532</v>
      </c>
      <c r="B31" s="299">
        <v>0</v>
      </c>
      <c r="C31" s="300"/>
    </row>
    <row r="32" spans="1:5" ht="19.5" customHeight="1" thickBot="1" x14ac:dyDescent="0.4">
      <c r="A32" s="209" t="s">
        <v>23</v>
      </c>
      <c r="B32" s="291">
        <f>'график с повышеной%'!F9</f>
        <v>0.2999</v>
      </c>
      <c r="C32" s="292"/>
    </row>
    <row r="33" spans="1:3" ht="15" thickBot="1" x14ac:dyDescent="0.4">
      <c r="A33" s="208" t="s">
        <v>24</v>
      </c>
      <c r="B33" s="280" t="s">
        <v>116</v>
      </c>
      <c r="C33" s="281"/>
    </row>
    <row r="34" spans="1:3" ht="21" customHeight="1" thickBot="1" x14ac:dyDescent="0.4">
      <c r="A34" s="208" t="s">
        <v>25</v>
      </c>
      <c r="B34" s="248" t="s">
        <v>151</v>
      </c>
      <c r="C34" s="249"/>
    </row>
    <row r="35" spans="1:3" ht="23.5" thickBot="1" x14ac:dyDescent="0.4">
      <c r="A35" s="208" t="s">
        <v>26</v>
      </c>
      <c r="B35" s="248" t="s">
        <v>27</v>
      </c>
      <c r="C35" s="249"/>
    </row>
    <row r="36" spans="1:3" ht="15" thickBot="1" x14ac:dyDescent="0.4">
      <c r="A36" s="208" t="s">
        <v>98</v>
      </c>
      <c r="B36" s="291">
        <f>'график с повышеной%'!P7</f>
        <v>0.01</v>
      </c>
      <c r="C36" s="292"/>
    </row>
    <row r="37" spans="1:3" ht="15" thickBot="1" x14ac:dyDescent="0.4">
      <c r="A37" s="208" t="s">
        <v>28</v>
      </c>
      <c r="B37" s="293" t="s">
        <v>21</v>
      </c>
      <c r="C37" s="249"/>
    </row>
    <row r="38" spans="1:3" ht="15" thickBot="1" x14ac:dyDescent="0.4">
      <c r="A38" s="210" t="s">
        <v>125</v>
      </c>
      <c r="B38" s="274">
        <f>'график с повышеной%'!R11</f>
        <v>0</v>
      </c>
      <c r="C38" s="275"/>
    </row>
    <row r="39" spans="1:3" ht="26.25" customHeight="1" thickBot="1" x14ac:dyDescent="0.4">
      <c r="A39" s="209" t="s">
        <v>29</v>
      </c>
      <c r="B39" s="274" t="s">
        <v>21</v>
      </c>
      <c r="C39" s="249"/>
    </row>
    <row r="40" spans="1:3" ht="15" hidden="1" thickBot="1" x14ac:dyDescent="0.4">
      <c r="A40" s="208"/>
      <c r="B40" s="211"/>
    </row>
    <row r="41" spans="1:3" ht="23.5" thickBot="1" x14ac:dyDescent="0.4">
      <c r="A41" s="212" t="s">
        <v>152</v>
      </c>
      <c r="B41" s="296" t="s">
        <v>153</v>
      </c>
      <c r="C41" s="297"/>
    </row>
    <row r="42" spans="1:3" ht="23.5" thickBot="1" x14ac:dyDescent="0.4">
      <c r="A42" s="212" t="s">
        <v>154</v>
      </c>
      <c r="B42" s="296" t="s">
        <v>155</v>
      </c>
      <c r="C42" s="297"/>
    </row>
    <row r="43" spans="1:3" ht="15" thickBot="1" x14ac:dyDescent="0.4">
      <c r="A43" s="208" t="s">
        <v>30</v>
      </c>
      <c r="B43" s="274">
        <f ca="1">B44-B21</f>
        <v>925842.66160136694</v>
      </c>
      <c r="C43" s="275"/>
    </row>
    <row r="44" spans="1:3" ht="35" thickBot="1" x14ac:dyDescent="0.4">
      <c r="A44" s="208" t="s">
        <v>31</v>
      </c>
      <c r="B44" s="274">
        <f ca="1">SUM('дод 1 до дог кредит'!Q145:Q206)</f>
        <v>1925842.6616013669</v>
      </c>
      <c r="C44" s="275"/>
    </row>
    <row r="45" spans="1:3" ht="15" thickBot="1" x14ac:dyDescent="0.4">
      <c r="A45" s="210" t="s">
        <v>32</v>
      </c>
      <c r="B45" s="335">
        <f ca="1">SUM('график с повышеной%'!Q34:Q183)</f>
        <v>0.35025878548622136</v>
      </c>
      <c r="C45" s="336"/>
    </row>
    <row r="46" spans="1:3" ht="48" customHeight="1" thickBot="1" x14ac:dyDescent="0.4">
      <c r="A46" s="288" t="s">
        <v>33</v>
      </c>
      <c r="B46" s="289"/>
      <c r="C46" s="290"/>
    </row>
    <row r="47" spans="1:3" ht="24" customHeight="1" thickBot="1" x14ac:dyDescent="0.4">
      <c r="A47" s="288" t="s">
        <v>34</v>
      </c>
      <c r="B47" s="289"/>
      <c r="C47" s="290"/>
    </row>
    <row r="48" spans="1:3" ht="24" customHeight="1" thickBot="1" x14ac:dyDescent="0.4">
      <c r="A48" s="288" t="s">
        <v>35</v>
      </c>
      <c r="B48" s="289"/>
      <c r="C48" s="290"/>
    </row>
    <row r="49" spans="1:5" ht="24" customHeight="1" thickBot="1" x14ac:dyDescent="0.4">
      <c r="A49" s="213" t="s">
        <v>120</v>
      </c>
      <c r="B49" s="248" t="s">
        <v>27</v>
      </c>
      <c r="C49" s="249"/>
    </row>
    <row r="50" spans="1:5" ht="24" customHeight="1" thickBot="1" x14ac:dyDescent="0.4">
      <c r="A50" s="209" t="s">
        <v>121</v>
      </c>
      <c r="B50" s="274" t="str">
        <f>IF(D50=0,E50,CONCATENATE(E50,D50))</f>
        <v>ні</v>
      </c>
      <c r="C50" s="275"/>
      <c r="D50" s="186">
        <f>'график с повышеной%'!I34</f>
        <v>0</v>
      </c>
      <c r="E50" s="183" t="str">
        <f>IF(D50&gt;0,"так, ","ні")</f>
        <v>ні</v>
      </c>
    </row>
    <row r="51" spans="1:5" ht="24" customHeight="1" thickBot="1" x14ac:dyDescent="0.4">
      <c r="A51" s="209" t="s">
        <v>122</v>
      </c>
      <c r="B51" s="274" t="str">
        <f t="shared" ref="B51:B53" si="0">IF(D51=0,E51,CONCATENATE(E51,D51))</f>
        <v>ні</v>
      </c>
      <c r="C51" s="275"/>
      <c r="D51" s="186">
        <f>'график с повышеной%'!J34</f>
        <v>0</v>
      </c>
      <c r="E51" s="183" t="str">
        <f>IF(D51&gt;0,"так, ","ні")</f>
        <v>ні</v>
      </c>
    </row>
    <row r="52" spans="1:5" ht="24" customHeight="1" thickBot="1" x14ac:dyDescent="0.4">
      <c r="A52" s="209" t="s">
        <v>123</v>
      </c>
      <c r="B52" s="274" t="str">
        <f t="shared" si="0"/>
        <v>так, 59900</v>
      </c>
      <c r="C52" s="275"/>
      <c r="D52" s="186">
        <f>'график с повышеной%'!Q14+'график с повышеной%'!Q15</f>
        <v>59900</v>
      </c>
      <c r="E52" s="183" t="str">
        <f>IF(D52&gt;0,"так, ","ні")</f>
        <v xml:space="preserve">так, </v>
      </c>
    </row>
    <row r="53" spans="1:5" ht="24" customHeight="1" thickBot="1" x14ac:dyDescent="0.4">
      <c r="A53" s="209" t="s">
        <v>124</v>
      </c>
      <c r="B53" s="274" t="str">
        <f t="shared" si="0"/>
        <v>ні</v>
      </c>
      <c r="C53" s="275"/>
      <c r="D53" s="186">
        <f>'график с повышеной%'!L34</f>
        <v>0</v>
      </c>
      <c r="E53" s="183" t="str">
        <f>IF(D53&gt;0,"так, ","ні")</f>
        <v>ні</v>
      </c>
    </row>
    <row r="54" spans="1:5" ht="15" thickBot="1" x14ac:dyDescent="0.4">
      <c r="A54" s="271" t="s">
        <v>36</v>
      </c>
      <c r="B54" s="272"/>
      <c r="C54" s="273"/>
    </row>
    <row r="55" spans="1:5" ht="67.5" customHeight="1" thickBot="1" x14ac:dyDescent="0.4">
      <c r="A55" s="209" t="s">
        <v>37</v>
      </c>
      <c r="B55" s="248" t="s">
        <v>143</v>
      </c>
      <c r="C55" s="249"/>
    </row>
    <row r="56" spans="1:5" ht="15" thickBot="1" x14ac:dyDescent="0.4">
      <c r="A56" s="271" t="s">
        <v>38</v>
      </c>
      <c r="B56" s="272"/>
      <c r="C56" s="273"/>
    </row>
    <row r="57" spans="1:5" ht="23.5" thickBot="1" x14ac:dyDescent="0.4">
      <c r="A57" s="208" t="s">
        <v>39</v>
      </c>
      <c r="B57" s="248" t="s">
        <v>156</v>
      </c>
      <c r="C57" s="249"/>
    </row>
    <row r="58" spans="1:5" ht="15" thickBot="1" x14ac:dyDescent="0.4">
      <c r="A58" s="208" t="s">
        <v>40</v>
      </c>
      <c r="B58" s="248" t="s">
        <v>41</v>
      </c>
      <c r="C58" s="249"/>
    </row>
    <row r="59" spans="1:5" ht="15" thickBot="1" x14ac:dyDescent="0.4">
      <c r="A59" s="212" t="s">
        <v>157</v>
      </c>
      <c r="B59" s="296" t="s">
        <v>21</v>
      </c>
      <c r="C59" s="297"/>
    </row>
    <row r="60" spans="1:5" ht="23.5" thickBot="1" x14ac:dyDescent="0.4">
      <c r="A60" s="208" t="s">
        <v>117</v>
      </c>
      <c r="B60" s="248" t="s">
        <v>73</v>
      </c>
      <c r="C60" s="249"/>
    </row>
    <row r="61" spans="1:5" ht="15" thickBot="1" x14ac:dyDescent="0.4">
      <c r="A61" s="210" t="s">
        <v>42</v>
      </c>
      <c r="B61" s="248" t="s">
        <v>21</v>
      </c>
      <c r="C61" s="249"/>
    </row>
    <row r="62" spans="1:5" ht="15" thickBot="1" x14ac:dyDescent="0.4">
      <c r="A62" s="271" t="s">
        <v>43</v>
      </c>
      <c r="B62" s="272"/>
      <c r="C62" s="273"/>
    </row>
    <row r="63" spans="1:5" ht="36" customHeight="1" thickBot="1" x14ac:dyDescent="0.4">
      <c r="A63" s="248" t="s">
        <v>44</v>
      </c>
      <c r="B63" s="298"/>
      <c r="C63" s="249"/>
    </row>
    <row r="64" spans="1:5" ht="46.5" thickBot="1" x14ac:dyDescent="0.4">
      <c r="A64" s="209" t="s">
        <v>45</v>
      </c>
      <c r="B64" s="248" t="s">
        <v>110</v>
      </c>
      <c r="C64" s="249"/>
    </row>
    <row r="65" spans="1:3" ht="36" customHeight="1" thickBot="1" x14ac:dyDescent="0.4">
      <c r="A65" s="248" t="s">
        <v>46</v>
      </c>
      <c r="B65" s="298"/>
      <c r="C65" s="249"/>
    </row>
    <row r="66" spans="1:3" ht="36" customHeight="1" thickBot="1" x14ac:dyDescent="0.4">
      <c r="A66" s="248" t="s">
        <v>47</v>
      </c>
      <c r="B66" s="298"/>
      <c r="C66" s="249"/>
    </row>
    <row r="67" spans="1:3" ht="15" customHeight="1" x14ac:dyDescent="0.35">
      <c r="A67" s="276" t="str">
        <f ca="1">паспорт!A68</f>
        <v>Дата надання інформації: 01.02.2021</v>
      </c>
      <c r="B67" s="278" t="str">
        <f ca="1">паспорт!B68</f>
        <v>Ця інформація зберігає чинність та є актуальною до 31.01.2026</v>
      </c>
      <c r="C67" s="279"/>
    </row>
    <row r="68" spans="1:3" ht="15" thickBot="1" x14ac:dyDescent="0.4">
      <c r="A68" s="277"/>
      <c r="B68" s="280"/>
      <c r="C68" s="281"/>
    </row>
    <row r="69" spans="1:3" x14ac:dyDescent="0.35">
      <c r="A69" s="214"/>
      <c r="B69" s="278" t="s">
        <v>49</v>
      </c>
      <c r="C69" s="279"/>
    </row>
    <row r="70" spans="1:3" ht="15" thickBot="1" x14ac:dyDescent="0.4">
      <c r="A70" s="215" t="s">
        <v>48</v>
      </c>
      <c r="B70" s="280"/>
      <c r="C70" s="281"/>
    </row>
    <row r="71" spans="1:3" ht="24" customHeight="1" thickBot="1" x14ac:dyDescent="0.4">
      <c r="A71" s="248" t="s">
        <v>50</v>
      </c>
      <c r="B71" s="298"/>
      <c r="C71" s="249"/>
    </row>
    <row r="72" spans="1:3" ht="48" customHeight="1" thickBot="1" x14ac:dyDescent="0.4">
      <c r="A72" s="248" t="s">
        <v>51</v>
      </c>
      <c r="B72" s="298"/>
      <c r="C72" s="249"/>
    </row>
    <row r="73" spans="1:3" x14ac:dyDescent="0.35">
      <c r="A73" s="216"/>
      <c r="B73" s="278" t="s">
        <v>53</v>
      </c>
      <c r="C73" s="279"/>
    </row>
    <row r="74" spans="1:3" ht="15" thickBot="1" x14ac:dyDescent="0.4">
      <c r="A74" s="215" t="s">
        <v>52</v>
      </c>
      <c r="B74" s="280"/>
      <c r="C74" s="281"/>
    </row>
    <row r="75" spans="1:3" x14ac:dyDescent="0.35">
      <c r="A75" s="217"/>
    </row>
  </sheetData>
  <mergeCells count="70">
    <mergeCell ref="B50:C50"/>
    <mergeCell ref="B51:C51"/>
    <mergeCell ref="A47:C47"/>
    <mergeCell ref="A48:C48"/>
    <mergeCell ref="B31:C31"/>
    <mergeCell ref="B32:C32"/>
    <mergeCell ref="B49:C49"/>
    <mergeCell ref="A62:C62"/>
    <mergeCell ref="A54:C54"/>
    <mergeCell ref="B55:C55"/>
    <mergeCell ref="A56:C56"/>
    <mergeCell ref="B57:C57"/>
    <mergeCell ref="B58:C58"/>
    <mergeCell ref="B60:C60"/>
    <mergeCell ref="B61:C61"/>
    <mergeCell ref="B59:C59"/>
    <mergeCell ref="B69:C70"/>
    <mergeCell ref="A71:C71"/>
    <mergeCell ref="A72:C72"/>
    <mergeCell ref="B73:C74"/>
    <mergeCell ref="A63:C63"/>
    <mergeCell ref="B64:C64"/>
    <mergeCell ref="A65:C65"/>
    <mergeCell ref="A66:C66"/>
    <mergeCell ref="A67:A68"/>
    <mergeCell ref="B67:C68"/>
    <mergeCell ref="B53:C53"/>
    <mergeCell ref="B38:C38"/>
    <mergeCell ref="B41:C41"/>
    <mergeCell ref="B42:C42"/>
    <mergeCell ref="A30:C30"/>
    <mergeCell ref="B52:C52"/>
    <mergeCell ref="B33:C33"/>
    <mergeCell ref="B34:C34"/>
    <mergeCell ref="B35:C35"/>
    <mergeCell ref="B36:C36"/>
    <mergeCell ref="B37:C37"/>
    <mergeCell ref="B39:C39"/>
    <mergeCell ref="B43:C43"/>
    <mergeCell ref="B44:C44"/>
    <mergeCell ref="B45:C45"/>
    <mergeCell ref="A46:C46"/>
    <mergeCell ref="A5:A7"/>
    <mergeCell ref="B5:C5"/>
    <mergeCell ref="B6:C6"/>
    <mergeCell ref="B7:C7"/>
    <mergeCell ref="A8:A9"/>
    <mergeCell ref="B8:C8"/>
    <mergeCell ref="B9:C9"/>
    <mergeCell ref="A1:C1"/>
    <mergeCell ref="A2:A4"/>
    <mergeCell ref="B2:C2"/>
    <mergeCell ref="B3:C3"/>
    <mergeCell ref="B4:C4"/>
    <mergeCell ref="B10:C10"/>
    <mergeCell ref="B11:C11"/>
    <mergeCell ref="A28:A29"/>
    <mergeCell ref="B28:C29"/>
    <mergeCell ref="B14:C18"/>
    <mergeCell ref="B12:C12"/>
    <mergeCell ref="A23:A24"/>
    <mergeCell ref="B23:C24"/>
    <mergeCell ref="B25:C25"/>
    <mergeCell ref="B26:C26"/>
    <mergeCell ref="B27:C27"/>
    <mergeCell ref="A13:C13"/>
    <mergeCell ref="A19:C19"/>
    <mergeCell ref="B20:C20"/>
    <mergeCell ref="B21:C21"/>
    <mergeCell ref="B22:C22"/>
  </mergeCells>
  <hyperlinks>
    <hyperlink ref="B11" r:id="rId1" display="mailto:bank@pravex.kiev.ua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196"/>
  <sheetViews>
    <sheetView zoomScale="70" zoomScaleNormal="70" workbookViewId="0">
      <selection activeCell="G15" sqref="G15"/>
    </sheetView>
  </sheetViews>
  <sheetFormatPr defaultRowHeight="14.5" x14ac:dyDescent="0.35"/>
  <cols>
    <col min="2" max="2" width="24.81640625" hidden="1" customWidth="1"/>
    <col min="3" max="3" width="19.1796875" customWidth="1"/>
    <col min="4" max="4" width="12.81640625" customWidth="1"/>
    <col min="5" max="5" width="15.81640625" customWidth="1"/>
    <col min="6" max="6" width="15.453125" customWidth="1"/>
    <col min="7" max="7" width="12.453125" customWidth="1"/>
    <col min="8" max="8" width="18.453125" customWidth="1"/>
    <col min="9" max="12" width="16.453125" customWidth="1"/>
    <col min="13" max="13" width="12.26953125" customWidth="1"/>
    <col min="14" max="14" width="12.7265625" customWidth="1"/>
    <col min="15" max="15" width="15.54296875" customWidth="1"/>
    <col min="16" max="16" width="18.1796875" customWidth="1"/>
    <col min="17" max="17" width="12.26953125" customWidth="1"/>
    <col min="18" max="18" width="12" customWidth="1"/>
    <col min="19" max="19" width="11.54296875" hidden="1" customWidth="1"/>
    <col min="20" max="20" width="0" hidden="1" customWidth="1"/>
    <col min="21" max="21" width="9.1796875" hidden="1" customWidth="1"/>
    <col min="22" max="22" width="9.453125" hidden="1" customWidth="1"/>
    <col min="23" max="23" width="10.1796875" hidden="1" customWidth="1"/>
    <col min="24" max="32" width="0" hidden="1" customWidth="1"/>
  </cols>
  <sheetData>
    <row r="1" spans="1:32" ht="15.5" x14ac:dyDescent="0.35">
      <c r="A1" s="310" t="s">
        <v>109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</row>
    <row r="2" spans="1:32" x14ac:dyDescent="0.35">
      <c r="A2" s="2"/>
      <c r="B2" s="2"/>
      <c r="C2" s="3"/>
      <c r="D2" s="3"/>
      <c r="E2" s="3"/>
      <c r="F2" s="3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2" x14ac:dyDescent="0.35">
      <c r="A3" s="2"/>
      <c r="B3" s="163" t="s">
        <v>54</v>
      </c>
      <c r="C3" s="165" t="s">
        <v>54</v>
      </c>
      <c r="D3" s="166">
        <f ca="1">F3</f>
        <v>44228</v>
      </c>
      <c r="E3" s="167"/>
      <c r="F3" s="203">
        <f ca="1">'график анн'!F3</f>
        <v>44228</v>
      </c>
      <c r="G3" s="65"/>
      <c r="H3" s="311" t="s">
        <v>105</v>
      </c>
      <c r="I3" s="311"/>
      <c r="J3" s="311"/>
      <c r="K3" s="311"/>
      <c r="L3" s="311"/>
      <c r="M3" s="311"/>
      <c r="N3" s="143"/>
      <c r="O3" s="143"/>
      <c r="P3" s="77"/>
      <c r="Q3" s="59"/>
      <c r="R3" s="2"/>
    </row>
    <row r="4" spans="1:32" hidden="1" x14ac:dyDescent="0.35">
      <c r="A4" s="2"/>
      <c r="B4" s="148" t="s">
        <v>55</v>
      </c>
      <c r="C4" s="168" t="s">
        <v>55</v>
      </c>
      <c r="D4" s="60">
        <f t="shared" ref="D4:D9" si="0">F4</f>
        <v>1000000</v>
      </c>
      <c r="E4" s="3"/>
      <c r="F4" s="169">
        <v>1000000</v>
      </c>
      <c r="G4" s="3"/>
      <c r="H4" s="312" t="s">
        <v>56</v>
      </c>
      <c r="I4" s="312"/>
      <c r="J4" s="312"/>
      <c r="K4" s="312"/>
      <c r="L4" s="312"/>
      <c r="M4" s="312"/>
      <c r="N4" s="144"/>
      <c r="O4" s="144"/>
      <c r="P4" s="78"/>
      <c r="Q4" s="58">
        <f>Q3*F7</f>
        <v>0</v>
      </c>
      <c r="R4" s="2"/>
    </row>
    <row r="5" spans="1:32" hidden="1" x14ac:dyDescent="0.35">
      <c r="A5" s="2"/>
      <c r="B5" s="148" t="s">
        <v>57</v>
      </c>
      <c r="C5" s="170" t="s">
        <v>57</v>
      </c>
      <c r="D5" s="61">
        <f t="shared" si="0"/>
        <v>300000</v>
      </c>
      <c r="E5" s="54"/>
      <c r="F5" s="171">
        <v>300000</v>
      </c>
      <c r="G5" s="4"/>
      <c r="H5" s="313" t="s">
        <v>58</v>
      </c>
      <c r="I5" s="313"/>
      <c r="J5" s="313"/>
      <c r="K5" s="313"/>
      <c r="L5" s="313"/>
      <c r="M5" s="313"/>
      <c r="N5" s="313"/>
      <c r="O5" s="313"/>
      <c r="P5" s="313"/>
      <c r="Q5" s="313"/>
      <c r="R5" s="2"/>
      <c r="V5" t="s">
        <v>74</v>
      </c>
      <c r="W5">
        <v>1700</v>
      </c>
    </row>
    <row r="6" spans="1:32" hidden="1" x14ac:dyDescent="0.35">
      <c r="A6" s="2"/>
      <c r="B6" s="164" t="s">
        <v>59</v>
      </c>
      <c r="C6" s="172" t="s">
        <v>59</v>
      </c>
      <c r="D6" s="109">
        <f t="shared" si="0"/>
        <v>0.3</v>
      </c>
      <c r="E6" s="110"/>
      <c r="F6" s="173">
        <f>F5/F4</f>
        <v>0.3</v>
      </c>
      <c r="G6" s="5"/>
      <c r="H6" s="314"/>
      <c r="I6" s="314"/>
      <c r="J6" s="314"/>
      <c r="K6" s="314"/>
      <c r="L6" s="314"/>
      <c r="M6" s="314"/>
      <c r="N6" s="145"/>
      <c r="O6" s="145"/>
      <c r="P6" s="79"/>
      <c r="Q6" s="56"/>
      <c r="R6" s="2"/>
    </row>
    <row r="7" spans="1:32" x14ac:dyDescent="0.35">
      <c r="A7" s="2"/>
      <c r="B7" s="65" t="s">
        <v>60</v>
      </c>
      <c r="C7" s="174" t="s">
        <v>60</v>
      </c>
      <c r="D7" s="108">
        <f t="shared" si="0"/>
        <v>1000000</v>
      </c>
      <c r="E7" s="86"/>
      <c r="F7" s="179">
        <f>'график анн'!F7</f>
        <v>1000000</v>
      </c>
      <c r="G7" s="5"/>
      <c r="H7" s="157" t="str">
        <f>H3</f>
        <v>Комісії банка, % від суми кредиту</v>
      </c>
      <c r="I7" s="158"/>
      <c r="J7" s="158"/>
      <c r="K7" s="158"/>
      <c r="L7" s="158"/>
      <c r="M7" s="158"/>
      <c r="N7" s="158"/>
      <c r="O7" s="158"/>
      <c r="P7" s="337">
        <v>0.01</v>
      </c>
      <c r="Q7" s="338"/>
      <c r="R7" s="2"/>
      <c r="W7">
        <f>F4/W5</f>
        <v>588.23529411764707</v>
      </c>
      <c r="AE7">
        <v>1</v>
      </c>
      <c r="AF7" s="53">
        <v>2181</v>
      </c>
    </row>
    <row r="8" spans="1:32" x14ac:dyDescent="0.35">
      <c r="A8" s="2"/>
      <c r="B8" s="65" t="s">
        <v>61</v>
      </c>
      <c r="C8" s="175" t="s">
        <v>61</v>
      </c>
      <c r="D8" s="87">
        <f>F8</f>
        <v>60</v>
      </c>
      <c r="E8" s="111"/>
      <c r="F8" s="180">
        <v>60</v>
      </c>
      <c r="G8" s="5"/>
      <c r="H8" s="159" t="str">
        <f>H4</f>
        <v>Одноразова комісія за надання кредиту, грн</v>
      </c>
      <c r="I8" s="158"/>
      <c r="J8" s="158"/>
      <c r="K8" s="158"/>
      <c r="L8" s="158"/>
      <c r="M8" s="158"/>
      <c r="N8" s="158"/>
      <c r="O8" s="158"/>
      <c r="P8" s="302">
        <f>P7*F7</f>
        <v>10000</v>
      </c>
      <c r="Q8" s="303"/>
      <c r="R8" s="162"/>
      <c r="S8" s="184" t="s">
        <v>97</v>
      </c>
      <c r="T8" s="185">
        <f>P8</f>
        <v>10000</v>
      </c>
      <c r="W8" t="str">
        <f>IF(W7&lt;165,"3%",IF(W7&gt;290,"5%","4%"))</f>
        <v>5%</v>
      </c>
      <c r="AE8" s="238">
        <v>2</v>
      </c>
      <c r="AF8" s="239">
        <f>IF($F$8&gt;12,$P$17,0)</f>
        <v>2181</v>
      </c>
    </row>
    <row r="9" spans="1:32" x14ac:dyDescent="0.35">
      <c r="A9" s="2"/>
      <c r="B9" s="65" t="s">
        <v>62</v>
      </c>
      <c r="C9" s="176" t="s">
        <v>62</v>
      </c>
      <c r="D9" s="177">
        <f t="shared" si="0"/>
        <v>0.2999</v>
      </c>
      <c r="E9" s="178"/>
      <c r="F9" s="181">
        <v>0.2999</v>
      </c>
      <c r="G9" s="5"/>
      <c r="H9" s="160" t="s">
        <v>119</v>
      </c>
      <c r="I9" s="161"/>
      <c r="J9" s="161"/>
      <c r="K9" s="161"/>
      <c r="L9" s="161"/>
      <c r="M9" s="161"/>
      <c r="N9" s="161"/>
      <c r="O9" s="161"/>
      <c r="P9" s="339">
        <v>0</v>
      </c>
      <c r="Q9" s="340"/>
      <c r="R9" s="186">
        <f>P9</f>
        <v>0</v>
      </c>
      <c r="S9" s="184" t="s">
        <v>96</v>
      </c>
      <c r="T9" s="187"/>
      <c r="AE9" s="238">
        <v>3</v>
      </c>
      <c r="AF9" s="239">
        <f>IF($F$8&gt;24,$P$17,0)</f>
        <v>2181</v>
      </c>
    </row>
    <row r="10" spans="1:32" x14ac:dyDescent="0.35">
      <c r="A10" s="2"/>
      <c r="B10" s="65"/>
      <c r="C10" s="244" t="s">
        <v>531</v>
      </c>
      <c r="D10" s="241"/>
      <c r="E10" s="242"/>
      <c r="F10" s="243">
        <v>0</v>
      </c>
      <c r="G10" s="5"/>
      <c r="H10" s="318" t="s">
        <v>132</v>
      </c>
      <c r="I10" s="319"/>
      <c r="J10" s="319"/>
      <c r="K10" s="319"/>
      <c r="L10" s="319"/>
      <c r="M10" s="320"/>
      <c r="N10" s="152"/>
      <c r="O10" s="152"/>
      <c r="P10" s="341">
        <v>0</v>
      </c>
      <c r="Q10" s="342"/>
      <c r="R10" s="183"/>
      <c r="S10" s="184"/>
      <c r="T10" s="187"/>
      <c r="AE10" s="238">
        <v>4</v>
      </c>
      <c r="AF10" s="239">
        <f>IF($F$8&gt;36,$P$17,0)</f>
        <v>2181</v>
      </c>
    </row>
    <row r="11" spans="1:32" x14ac:dyDescent="0.35">
      <c r="A11" s="2"/>
      <c r="B11" s="65"/>
      <c r="C11" s="65"/>
      <c r="D11" s="149"/>
      <c r="E11" s="3"/>
      <c r="F11" s="59"/>
      <c r="G11" s="5"/>
      <c r="H11" s="318" t="s">
        <v>133</v>
      </c>
      <c r="I11" s="319"/>
      <c r="J11" s="319"/>
      <c r="K11" s="319"/>
      <c r="L11" s="319"/>
      <c r="M11" s="320"/>
      <c r="N11" s="152"/>
      <c r="O11" s="152"/>
      <c r="P11" s="343">
        <f>F7*P10</f>
        <v>0</v>
      </c>
      <c r="Q11" s="344"/>
      <c r="R11" s="186">
        <f>P11</f>
        <v>0</v>
      </c>
      <c r="S11" s="184"/>
      <c r="T11" s="187"/>
      <c r="AE11" s="238">
        <v>5</v>
      </c>
      <c r="AF11" s="239">
        <f>IF($F$8&gt;48,$P$17,0)</f>
        <v>2181</v>
      </c>
    </row>
    <row r="12" spans="1:32" x14ac:dyDescent="0.35">
      <c r="A12" s="2"/>
      <c r="B12" s="65"/>
      <c r="C12" s="65"/>
      <c r="D12" s="149"/>
      <c r="E12" s="3"/>
      <c r="F12" s="59"/>
      <c r="G12" s="5"/>
      <c r="H12" s="323" t="s">
        <v>126</v>
      </c>
      <c r="I12" s="153" t="s">
        <v>134</v>
      </c>
      <c r="J12" s="154"/>
      <c r="K12" s="154"/>
      <c r="L12" s="154"/>
      <c r="M12" s="155"/>
      <c r="N12" s="152"/>
      <c r="O12" s="152"/>
      <c r="P12" s="345">
        <v>0</v>
      </c>
      <c r="Q12" s="346"/>
      <c r="R12" s="186">
        <f>P12</f>
        <v>0</v>
      </c>
      <c r="S12" s="184"/>
      <c r="T12" s="187"/>
      <c r="AF12" s="53">
        <f>SUM(AF7:AF11)</f>
        <v>10905</v>
      </c>
    </row>
    <row r="13" spans="1:32" x14ac:dyDescent="0.35">
      <c r="A13" s="2"/>
      <c r="B13" s="65"/>
      <c r="C13" s="65"/>
      <c r="D13" s="149"/>
      <c r="E13" s="3"/>
      <c r="F13" s="59"/>
      <c r="G13" s="5"/>
      <c r="H13" s="324"/>
      <c r="I13" s="156" t="s">
        <v>135</v>
      </c>
      <c r="J13" s="154"/>
      <c r="K13" s="154"/>
      <c r="L13" s="154"/>
      <c r="M13" s="155"/>
      <c r="N13" s="152"/>
      <c r="O13" s="152"/>
      <c r="P13" s="345">
        <v>0</v>
      </c>
      <c r="Q13" s="346"/>
      <c r="R13" s="186">
        <f>P13</f>
        <v>0</v>
      </c>
      <c r="S13" s="184"/>
      <c r="T13" s="187"/>
    </row>
    <row r="14" spans="1:32" x14ac:dyDescent="0.35">
      <c r="A14" s="2"/>
      <c r="B14" s="65"/>
      <c r="C14" s="65"/>
      <c r="D14" s="149"/>
      <c r="E14" s="3"/>
      <c r="F14" s="59"/>
      <c r="G14" s="5"/>
      <c r="H14" s="324"/>
      <c r="I14" s="156" t="s">
        <v>136</v>
      </c>
      <c r="J14" s="154"/>
      <c r="K14" s="154"/>
      <c r="L14" s="154"/>
      <c r="M14" s="155"/>
      <c r="N14" s="304" t="s">
        <v>137</v>
      </c>
      <c r="O14" s="305"/>
      <c r="P14" s="202">
        <v>5.9900000000000002E-2</v>
      </c>
      <c r="Q14" s="204">
        <f>F7*P14</f>
        <v>59900</v>
      </c>
      <c r="R14" s="186">
        <f>Q14</f>
        <v>59900</v>
      </c>
      <c r="S14" s="184"/>
      <c r="T14" s="187"/>
    </row>
    <row r="15" spans="1:32" x14ac:dyDescent="0.35">
      <c r="A15" s="2"/>
      <c r="B15" s="65"/>
      <c r="C15" s="65"/>
      <c r="D15" s="149"/>
      <c r="E15" s="3"/>
      <c r="F15" s="59"/>
      <c r="G15" s="5"/>
      <c r="H15" s="324"/>
      <c r="I15" s="156"/>
      <c r="J15" s="154"/>
      <c r="K15" s="154"/>
      <c r="L15" s="154"/>
      <c r="M15" s="155"/>
      <c r="N15" s="304" t="s">
        <v>138</v>
      </c>
      <c r="O15" s="305"/>
      <c r="P15" s="202">
        <v>0</v>
      </c>
      <c r="Q15" s="204">
        <f>F7*P15</f>
        <v>0</v>
      </c>
      <c r="R15" s="186">
        <f>Q15</f>
        <v>0</v>
      </c>
      <c r="S15" s="184"/>
      <c r="T15" s="187"/>
    </row>
    <row r="16" spans="1:32" x14ac:dyDescent="0.35">
      <c r="A16" s="2"/>
      <c r="B16" s="65"/>
      <c r="C16" s="65"/>
      <c r="D16" s="149"/>
      <c r="E16" s="3"/>
      <c r="F16" s="59"/>
      <c r="G16" s="5"/>
      <c r="H16" s="325"/>
      <c r="I16" s="156" t="s">
        <v>139</v>
      </c>
      <c r="J16" s="154"/>
      <c r="K16" s="154"/>
      <c r="L16" s="154"/>
      <c r="M16" s="155"/>
      <c r="N16" s="152"/>
      <c r="O16" s="152"/>
      <c r="P16" s="345">
        <v>0</v>
      </c>
      <c r="Q16" s="346"/>
      <c r="R16" s="186">
        <f>P16</f>
        <v>0</v>
      </c>
      <c r="S16" s="184"/>
      <c r="T16" s="187"/>
    </row>
    <row r="17" spans="1:21" x14ac:dyDescent="0.35">
      <c r="A17" s="2"/>
      <c r="B17" s="65"/>
      <c r="C17" s="65"/>
      <c r="D17" s="149"/>
      <c r="E17" s="3"/>
      <c r="F17" s="59"/>
      <c r="G17" s="5"/>
      <c r="H17" s="329" t="s">
        <v>140</v>
      </c>
      <c r="I17" s="233"/>
      <c r="J17" s="233"/>
      <c r="K17" s="233"/>
      <c r="L17" s="233"/>
      <c r="M17" s="234"/>
      <c r="N17" s="306" t="s">
        <v>524</v>
      </c>
      <c r="O17" s="307"/>
      <c r="P17" s="347">
        <v>2181</v>
      </c>
      <c r="Q17" s="347"/>
      <c r="R17" s="186">
        <f>P17</f>
        <v>2181</v>
      </c>
      <c r="S17" s="184"/>
      <c r="T17" s="187"/>
    </row>
    <row r="18" spans="1:21" ht="14.5" customHeight="1" x14ac:dyDescent="0.35">
      <c r="A18" s="2"/>
      <c r="B18" s="65"/>
      <c r="C18" s="148"/>
      <c r="D18" s="149"/>
      <c r="E18" s="3"/>
      <c r="F18" s="150"/>
      <c r="G18" s="5"/>
      <c r="H18" s="330"/>
      <c r="I18" s="235"/>
      <c r="J18" s="235"/>
      <c r="K18" s="235"/>
      <c r="L18" s="235"/>
      <c r="M18" s="236"/>
      <c r="N18" s="331" t="s">
        <v>525</v>
      </c>
      <c r="O18" s="332"/>
      <c r="P18" s="347">
        <f>AF12</f>
        <v>10905</v>
      </c>
      <c r="Q18" s="347"/>
      <c r="R18" s="2"/>
      <c r="T18" s="151"/>
    </row>
    <row r="19" spans="1:21" ht="17.25" hidden="1" customHeight="1" x14ac:dyDescent="0.35">
      <c r="A19" s="2"/>
      <c r="B19" s="3"/>
      <c r="C19" s="88"/>
      <c r="D19" s="3"/>
      <c r="E19" s="3"/>
      <c r="F19" s="89">
        <f ca="1">EDATE(F3,F8)</f>
        <v>46054</v>
      </c>
      <c r="G19" s="6"/>
      <c r="H19" s="112"/>
      <c r="I19" s="113"/>
      <c r="J19" s="113"/>
      <c r="K19" s="113"/>
      <c r="L19" s="113"/>
      <c r="M19" s="113"/>
      <c r="N19" s="113"/>
      <c r="O19" s="113"/>
      <c r="P19" s="113"/>
      <c r="Q19" s="114"/>
      <c r="R19" s="6"/>
      <c r="S19" s="7"/>
    </row>
    <row r="20" spans="1:21" ht="18.75" hidden="1" customHeight="1" x14ac:dyDescent="0.35">
      <c r="A20" s="2"/>
      <c r="B20" s="3"/>
      <c r="C20" s="88"/>
      <c r="D20" s="3"/>
      <c r="E20" s="90">
        <f>-PMT(F10/12,F8,E34)</f>
        <v>16666.666666666668</v>
      </c>
      <c r="F20" s="90">
        <f ca="1">-PMT(F9/12,F8-3,E34-SUM(F35:F37))</f>
        <v>31441.179914048091</v>
      </c>
      <c r="G20" s="6"/>
      <c r="H20" s="100"/>
      <c r="I20" s="66"/>
      <c r="J20" s="66"/>
      <c r="K20" s="66"/>
      <c r="L20" s="66"/>
      <c r="M20" s="66"/>
      <c r="N20" s="66"/>
      <c r="O20" s="66"/>
      <c r="P20" s="66"/>
      <c r="Q20" s="101"/>
      <c r="R20" s="6"/>
      <c r="S20" s="7"/>
    </row>
    <row r="21" spans="1:21" ht="15.75" hidden="1" customHeight="1" x14ac:dyDescent="0.35">
      <c r="A21" s="2"/>
      <c r="B21" s="3"/>
      <c r="C21" s="88"/>
      <c r="D21" s="3"/>
      <c r="E21" s="3"/>
      <c r="F21" s="91">
        <v>0</v>
      </c>
      <c r="G21" s="8"/>
      <c r="H21" s="102"/>
      <c r="I21" s="67"/>
      <c r="J21" s="67"/>
      <c r="K21" s="67"/>
      <c r="L21" s="67"/>
      <c r="M21" s="67"/>
      <c r="N21" s="67"/>
      <c r="O21" s="67"/>
      <c r="P21" s="67"/>
      <c r="Q21" s="103"/>
      <c r="R21" s="8"/>
      <c r="S21" s="9"/>
    </row>
    <row r="22" spans="1:21" hidden="1" x14ac:dyDescent="0.35">
      <c r="A22" s="2"/>
      <c r="B22" s="3"/>
      <c r="C22" s="88"/>
      <c r="D22" s="3"/>
      <c r="E22" s="3"/>
      <c r="F22" s="90">
        <f ca="1">F20+F21</f>
        <v>31441.179914048091</v>
      </c>
      <c r="G22" s="8"/>
      <c r="H22" s="102"/>
      <c r="I22" s="67"/>
      <c r="J22" s="67"/>
      <c r="K22" s="67"/>
      <c r="L22" s="67"/>
      <c r="M22" s="67"/>
      <c r="N22" s="67"/>
      <c r="O22" s="67"/>
      <c r="P22" s="67"/>
      <c r="Q22" s="103"/>
      <c r="R22" s="8"/>
      <c r="S22" s="9"/>
    </row>
    <row r="23" spans="1:21" hidden="1" x14ac:dyDescent="0.35">
      <c r="A23" s="2"/>
      <c r="B23" s="3"/>
      <c r="C23" s="88"/>
      <c r="D23" s="57"/>
      <c r="E23" s="57"/>
      <c r="F23" s="92"/>
      <c r="G23" s="8"/>
      <c r="H23" s="102"/>
      <c r="I23" s="67"/>
      <c r="J23" s="67"/>
      <c r="K23" s="67"/>
      <c r="L23" s="67"/>
      <c r="M23" s="67"/>
      <c r="N23" s="67"/>
      <c r="O23" s="67"/>
      <c r="P23" s="67"/>
      <c r="Q23" s="103"/>
      <c r="R23" s="8"/>
      <c r="S23" s="9"/>
    </row>
    <row r="24" spans="1:21" hidden="1" x14ac:dyDescent="0.35">
      <c r="A24" s="2"/>
      <c r="B24" s="3"/>
      <c r="C24" s="93" t="s">
        <v>101</v>
      </c>
      <c r="D24" s="55"/>
      <c r="E24" s="55"/>
      <c r="F24" s="94">
        <f ca="1">EDATE(F3,60)</f>
        <v>46054</v>
      </c>
      <c r="G24" s="8"/>
      <c r="H24" s="102"/>
      <c r="I24" s="67"/>
      <c r="J24" s="67"/>
      <c r="K24" s="67"/>
      <c r="L24" s="67"/>
      <c r="M24" s="67"/>
      <c r="N24" s="67"/>
      <c r="O24" s="67"/>
      <c r="P24" s="67"/>
      <c r="Q24" s="103"/>
      <c r="R24" s="8"/>
      <c r="S24" s="9"/>
    </row>
    <row r="25" spans="1:21" hidden="1" x14ac:dyDescent="0.35">
      <c r="A25" s="2"/>
      <c r="B25" s="3"/>
      <c r="C25" s="93" t="s">
        <v>104</v>
      </c>
      <c r="D25" s="55"/>
      <c r="E25" s="55"/>
      <c r="F25" s="95">
        <v>0.1588</v>
      </c>
      <c r="G25" s="8"/>
      <c r="H25" s="102"/>
      <c r="I25" s="67"/>
      <c r="J25" s="67"/>
      <c r="K25" s="67"/>
      <c r="L25" s="67"/>
      <c r="M25" s="67"/>
      <c r="N25" s="67"/>
      <c r="O25" s="67"/>
      <c r="P25" s="67"/>
      <c r="Q25" s="103"/>
      <c r="R25" s="8"/>
      <c r="S25" s="9"/>
    </row>
    <row r="26" spans="1:21" hidden="1" x14ac:dyDescent="0.35">
      <c r="A26" s="2"/>
      <c r="B26" s="2"/>
      <c r="C26" s="93" t="s">
        <v>102</v>
      </c>
      <c r="D26" s="55"/>
      <c r="E26" s="55"/>
      <c r="F26" s="95">
        <v>7.0000000000000007E-2</v>
      </c>
      <c r="G26" s="67"/>
      <c r="H26" s="102"/>
      <c r="I26" s="67"/>
      <c r="J26" s="67"/>
      <c r="K26" s="67"/>
      <c r="L26" s="67"/>
      <c r="M26" s="67"/>
      <c r="N26" s="67"/>
      <c r="O26" s="67"/>
      <c r="P26" s="67"/>
      <c r="Q26" s="103"/>
      <c r="R26" s="8"/>
      <c r="S26" s="9"/>
    </row>
    <row r="27" spans="1:21" hidden="1" x14ac:dyDescent="0.35">
      <c r="A27" s="2"/>
      <c r="B27" s="2"/>
      <c r="C27" s="96" t="s">
        <v>103</v>
      </c>
      <c r="D27" s="3"/>
      <c r="E27" s="3"/>
      <c r="F27" s="97">
        <f>F25+F26</f>
        <v>0.2288</v>
      </c>
      <c r="G27" s="6"/>
      <c r="H27" s="100"/>
      <c r="I27" s="66"/>
      <c r="J27" s="66"/>
      <c r="K27" s="66"/>
      <c r="L27" s="66"/>
      <c r="M27" s="66"/>
      <c r="N27" s="66"/>
      <c r="O27" s="66"/>
      <c r="P27" s="66"/>
      <c r="Q27" s="104"/>
      <c r="R27" s="6"/>
      <c r="S27" s="7"/>
    </row>
    <row r="28" spans="1:21" hidden="1" x14ac:dyDescent="0.35">
      <c r="A28" s="2"/>
      <c r="B28" s="2"/>
      <c r="C28" s="96"/>
      <c r="D28" s="3"/>
      <c r="E28" s="3"/>
      <c r="F28" s="90">
        <f>-PMT(F27/12,F8,F7)</f>
        <v>28121.569180609549</v>
      </c>
      <c r="G28" s="8"/>
      <c r="H28" s="102"/>
      <c r="I28" s="67"/>
      <c r="J28" s="67"/>
      <c r="K28" s="67"/>
      <c r="L28" s="67"/>
      <c r="M28" s="67"/>
      <c r="N28" s="67"/>
      <c r="O28" s="67"/>
      <c r="P28" s="67"/>
      <c r="Q28" s="103"/>
      <c r="R28" s="8"/>
      <c r="S28" s="9"/>
    </row>
    <row r="29" spans="1:21" hidden="1" x14ac:dyDescent="0.35">
      <c r="A29" s="2"/>
      <c r="B29" s="2"/>
      <c r="C29" s="96"/>
      <c r="D29" s="3"/>
      <c r="E29" s="3"/>
      <c r="F29" s="90">
        <f>-F7*0.2%</f>
        <v>-2000</v>
      </c>
      <c r="G29" s="8"/>
      <c r="H29" s="102"/>
      <c r="I29" s="67"/>
      <c r="J29" s="67"/>
      <c r="K29" s="67"/>
      <c r="L29" s="67"/>
      <c r="M29" s="67"/>
      <c r="N29" s="67"/>
      <c r="O29" s="67"/>
      <c r="P29" s="67"/>
      <c r="Q29" s="103"/>
      <c r="R29" s="8"/>
      <c r="S29" s="9"/>
    </row>
    <row r="30" spans="1:21" hidden="1" x14ac:dyDescent="0.35">
      <c r="A30" s="2"/>
      <c r="B30" s="2"/>
      <c r="C30" s="96"/>
      <c r="D30" s="3"/>
      <c r="E30" s="3"/>
      <c r="F30" s="90">
        <f>F28+F29</f>
        <v>26121.569180609549</v>
      </c>
      <c r="G30" s="8"/>
      <c r="H30" s="105"/>
      <c r="I30" s="106"/>
      <c r="J30" s="106"/>
      <c r="K30" s="106"/>
      <c r="L30" s="106"/>
      <c r="M30" s="106"/>
      <c r="N30" s="106"/>
      <c r="O30" s="106"/>
      <c r="P30" s="106"/>
      <c r="Q30" s="107"/>
      <c r="R30" s="8"/>
      <c r="S30" s="9"/>
    </row>
    <row r="31" spans="1:21" x14ac:dyDescent="0.35">
      <c r="A31" s="2"/>
      <c r="B31" s="2"/>
      <c r="C31" s="3"/>
      <c r="D31" s="3"/>
      <c r="E31" s="3"/>
      <c r="F31" s="192"/>
      <c r="G31" s="8"/>
      <c r="H31" s="98"/>
      <c r="I31" s="98"/>
      <c r="J31" s="98"/>
      <c r="K31" s="98"/>
      <c r="L31" s="98"/>
      <c r="M31" s="98"/>
      <c r="N31" s="99"/>
      <c r="O31" s="99"/>
      <c r="P31" s="99"/>
      <c r="Q31" s="99"/>
      <c r="R31" s="8"/>
      <c r="S31" s="9"/>
    </row>
    <row r="32" spans="1:21" ht="48" x14ac:dyDescent="0.35">
      <c r="A32" s="83" t="s">
        <v>63</v>
      </c>
      <c r="B32" s="83" t="s">
        <v>64</v>
      </c>
      <c r="C32" s="84" t="s">
        <v>64</v>
      </c>
      <c r="D32" s="84" t="s">
        <v>65</v>
      </c>
      <c r="E32" s="84" t="s">
        <v>66</v>
      </c>
      <c r="F32" s="84" t="s">
        <v>67</v>
      </c>
      <c r="G32" s="83" t="s">
        <v>68</v>
      </c>
      <c r="H32" s="83" t="s">
        <v>69</v>
      </c>
      <c r="I32" s="315" t="s">
        <v>126</v>
      </c>
      <c r="J32" s="316"/>
      <c r="K32" s="316"/>
      <c r="L32" s="317"/>
      <c r="M32" s="83" t="s">
        <v>70</v>
      </c>
      <c r="N32" s="83" t="s">
        <v>125</v>
      </c>
      <c r="O32" s="84" t="s">
        <v>131</v>
      </c>
      <c r="P32" s="84" t="s">
        <v>112</v>
      </c>
      <c r="Q32" s="85" t="s">
        <v>106</v>
      </c>
      <c r="R32" s="83" t="s">
        <v>107</v>
      </c>
      <c r="S32" s="85" t="s">
        <v>526</v>
      </c>
      <c r="U32" s="76"/>
    </row>
    <row r="33" spans="1:21" ht="24" x14ac:dyDescent="0.35">
      <c r="A33" s="85"/>
      <c r="B33" s="85"/>
      <c r="C33" s="85"/>
      <c r="D33" s="85"/>
      <c r="E33" s="85"/>
      <c r="F33" s="85"/>
      <c r="G33" s="85"/>
      <c r="H33" s="85"/>
      <c r="I33" s="83" t="s">
        <v>127</v>
      </c>
      <c r="J33" s="83" t="s">
        <v>128</v>
      </c>
      <c r="K33" s="83" t="s">
        <v>129</v>
      </c>
      <c r="L33" s="83" t="s">
        <v>130</v>
      </c>
      <c r="M33" s="85"/>
      <c r="N33" s="85"/>
      <c r="O33" s="85"/>
      <c r="P33" s="85"/>
      <c r="Q33" s="85"/>
      <c r="R33" s="85"/>
      <c r="S33" s="85"/>
      <c r="U33" s="151"/>
    </row>
    <row r="34" spans="1:21" ht="12" customHeight="1" x14ac:dyDescent="0.35">
      <c r="A34" s="13"/>
      <c r="B34" s="11">
        <f ca="1">D3</f>
        <v>44228</v>
      </c>
      <c r="C34" s="11">
        <f t="shared" ref="C34:C38" ca="1" si="1">IF(A34&gt;$D$8,"",B34)</f>
        <v>44228</v>
      </c>
      <c r="D34" s="13"/>
      <c r="E34" s="12">
        <f>IF(R8="кредит",D7+#REF!,D7)</f>
        <v>1000000</v>
      </c>
      <c r="F34" s="13"/>
      <c r="G34" s="13"/>
      <c r="H34" s="52">
        <f>-E34+M34+P9+I34+J34+K34+L34+N34+O34</f>
        <v>-927919</v>
      </c>
      <c r="I34" s="182">
        <f>R12</f>
        <v>0</v>
      </c>
      <c r="J34" s="182">
        <f>R13</f>
        <v>0</v>
      </c>
      <c r="K34" s="182">
        <f>Q14+Q15</f>
        <v>59900</v>
      </c>
      <c r="L34" s="182">
        <f>R16</f>
        <v>0</v>
      </c>
      <c r="M34" s="12">
        <f>P8</f>
        <v>10000</v>
      </c>
      <c r="N34" s="12">
        <f>R11</f>
        <v>0</v>
      </c>
      <c r="O34" s="12">
        <f>R17</f>
        <v>2181</v>
      </c>
      <c r="P34" s="12">
        <f>P9</f>
        <v>0</v>
      </c>
      <c r="Q34" s="14"/>
      <c r="R34" s="15"/>
      <c r="S34" s="237">
        <f>H34</f>
        <v>-927919</v>
      </c>
    </row>
    <row r="35" spans="1:21" x14ac:dyDescent="0.35">
      <c r="A35" s="10">
        <v>1</v>
      </c>
      <c r="B35" s="49">
        <f ca="1">EDATE($B$34,1)</f>
        <v>44256</v>
      </c>
      <c r="C35" s="11">
        <f t="shared" ca="1" si="1"/>
        <v>44256</v>
      </c>
      <c r="D35" s="10">
        <f t="shared" ref="D35:D46" ca="1" si="2">B35-B34</f>
        <v>28</v>
      </c>
      <c r="E35" s="12">
        <f t="shared" ref="E35:E46" ca="1" si="3">E34-F35</f>
        <v>983333.33333333337</v>
      </c>
      <c r="F35" s="16">
        <f ca="1">E20-G35</f>
        <v>16666.666666666668</v>
      </c>
      <c r="G35" s="16">
        <f ca="1">E34*D35*$F$10/IF(OR(YEAR(C35)=2020,YEAR(C35)=2024),366,365)</f>
        <v>0</v>
      </c>
      <c r="H35" s="16">
        <f>$E$20+$F$21</f>
        <v>16666.666666666668</v>
      </c>
      <c r="I35" s="16"/>
      <c r="J35" s="16"/>
      <c r="K35" s="16"/>
      <c r="L35" s="16"/>
      <c r="M35" s="10"/>
      <c r="N35" s="10"/>
      <c r="O35" s="10"/>
      <c r="P35" s="10"/>
      <c r="Q35" s="51" t="str">
        <f>IF(A34=$D$8,XIRR(S$34:S34,C$34:C34),"")</f>
        <v/>
      </c>
      <c r="R35" s="10"/>
      <c r="S35" s="115">
        <f>SUM(H35:R35)</f>
        <v>16666.666666666668</v>
      </c>
    </row>
    <row r="36" spans="1:21" x14ac:dyDescent="0.35">
      <c r="A36" s="10">
        <f>IF(A35&lt;$D$8,A35+1,"")</f>
        <v>2</v>
      </c>
      <c r="B36" s="49">
        <f ca="1">EDATE($B$34,2)</f>
        <v>44287</v>
      </c>
      <c r="C36" s="11">
        <f t="shared" ca="1" si="1"/>
        <v>44287</v>
      </c>
      <c r="D36" s="10">
        <f t="shared" ca="1" si="2"/>
        <v>31</v>
      </c>
      <c r="E36" s="12">
        <f t="shared" ca="1" si="3"/>
        <v>966666.66666666674</v>
      </c>
      <c r="F36" s="12">
        <f ca="1">IF(AND(A35="",A37=""),"",IF(A36="",SUM($F$35:F35),IF(A36=$D$8,$E$34-SUM($F$35:F35),$E$20-G36)))</f>
        <v>16666.666666666668</v>
      </c>
      <c r="G36" s="12">
        <f ca="1">IF(A35=$D$8,SUM($G$35:G35),IF(A35&gt;$D$8,"",E35*D36*$F$10/IF(OR(YEAR(C36)=2020,YEAR(C36)=2024),366,365)))</f>
        <v>0</v>
      </c>
      <c r="H36" s="12">
        <f ca="1">IF(A35=$D$8,SUM($H$35:H35),IF(A35="","",(G36+F36)))</f>
        <v>16666.666666666668</v>
      </c>
      <c r="I36" s="12"/>
      <c r="J36" s="12"/>
      <c r="K36" s="12"/>
      <c r="L36" s="12"/>
      <c r="M36" s="10"/>
      <c r="N36" s="10"/>
      <c r="O36" s="10"/>
      <c r="P36" s="10"/>
      <c r="Q36" s="51" t="str">
        <f>IF(A35=$D$8,XIRR(S$34:S35,C$34:C35),"")</f>
        <v/>
      </c>
      <c r="R36" s="10"/>
      <c r="S36" s="115">
        <f t="shared" ref="S36:S94" ca="1" si="4">SUM(H36:R36)</f>
        <v>16666.666666666668</v>
      </c>
    </row>
    <row r="37" spans="1:21" x14ac:dyDescent="0.35">
      <c r="A37" s="10">
        <f t="shared" ref="A37:A100" si="5">IF(A36&lt;$D$8,A36+1,"")</f>
        <v>3</v>
      </c>
      <c r="B37" s="49">
        <f ca="1">EDATE($B$34,3)</f>
        <v>44317</v>
      </c>
      <c r="C37" s="11">
        <f t="shared" ca="1" si="1"/>
        <v>44317</v>
      </c>
      <c r="D37" s="10">
        <f t="shared" ca="1" si="2"/>
        <v>30</v>
      </c>
      <c r="E37" s="12">
        <f t="shared" ca="1" si="3"/>
        <v>950000.00000000012</v>
      </c>
      <c r="F37" s="12">
        <f ca="1">IF(AND(A36="",A38=""),"",IF(A37="",SUM($F$35:F36),IF(A37=$D$8,$E$34-SUM($F$35:F36),$E$20-G37)))</f>
        <v>16666.666666666668</v>
      </c>
      <c r="G37" s="12">
        <f ca="1">IF(A36=$D$8,SUM($G$35:G36),IF(A36&gt;$D$8,"",E36*D37*$F$10/IF(OR(YEAR(C37)=2020,YEAR(C37)=2024),366,365)))</f>
        <v>0</v>
      </c>
      <c r="H37" s="12">
        <f ca="1">IF(A36=$D$8,SUM($H$35:H36),IF(A36="","",(G37+F37)))</f>
        <v>16666.666666666668</v>
      </c>
      <c r="I37" s="12"/>
      <c r="J37" s="12"/>
      <c r="K37" s="12"/>
      <c r="L37" s="12"/>
      <c r="M37" s="10"/>
      <c r="N37" s="10"/>
      <c r="O37" s="10"/>
      <c r="P37" s="10"/>
      <c r="Q37" s="51" t="str">
        <f>IF(A36=$D$8,XIRR(S$34:S36,C$34:C36),"")</f>
        <v/>
      </c>
      <c r="R37" s="115" t="str">
        <f t="shared" ref="R37:R95" si="6">IF(A36=$D$8,G37+M37+F37+L37+K37+J37+I37+N37+O37+$P$34,"")</f>
        <v/>
      </c>
      <c r="S37" s="115">
        <f t="shared" ca="1" si="4"/>
        <v>16666.666666666668</v>
      </c>
    </row>
    <row r="38" spans="1:21" x14ac:dyDescent="0.35">
      <c r="A38" s="10">
        <f t="shared" si="5"/>
        <v>4</v>
      </c>
      <c r="B38" s="49">
        <f ca="1">EDATE($B$34,4)</f>
        <v>44348</v>
      </c>
      <c r="C38" s="11">
        <f t="shared" ca="1" si="1"/>
        <v>44348</v>
      </c>
      <c r="D38" s="10">
        <f t="shared" ca="1" si="2"/>
        <v>31</v>
      </c>
      <c r="E38" s="12">
        <f t="shared" ca="1" si="3"/>
        <v>942756.23104485613</v>
      </c>
      <c r="F38" s="12">
        <f ca="1">IF(AND(A37="",A39=""),"",IF(A38="",SUM($F$35:F37),IF(A38=$D$8,$E$34-SUM($F$35:F37),$F$22-G38)))</f>
        <v>7243.7689551439762</v>
      </c>
      <c r="G38" s="12">
        <f ca="1">IF(A37=$D$8,SUM($G$35:G37),IF(A37&gt;$D$8,"",E37*D38*$D$9/IF(OR(YEAR(C38)=2020,YEAR(C38)=2024),366,365)))</f>
        <v>24197.410958904115</v>
      </c>
      <c r="H38" s="12">
        <f ca="1">IF(A37=$D$8,SUM($H$35:H37),IF(A37="","",(G38+F38)))</f>
        <v>31441.179914048091</v>
      </c>
      <c r="I38" s="12"/>
      <c r="J38" s="12"/>
      <c r="K38" s="12"/>
      <c r="L38" s="12"/>
      <c r="M38" s="10"/>
      <c r="N38" s="10"/>
      <c r="O38" s="10"/>
      <c r="P38" s="10"/>
      <c r="Q38" s="51" t="str">
        <f>IF(A37=$D$8,XIRR(S$34:S37,C$34:C37),"")</f>
        <v/>
      </c>
      <c r="R38" s="115" t="str">
        <f t="shared" si="6"/>
        <v/>
      </c>
      <c r="S38" s="115">
        <f t="shared" ca="1" si="4"/>
        <v>31441.179914048091</v>
      </c>
    </row>
    <row r="39" spans="1:21" x14ac:dyDescent="0.35">
      <c r="A39" s="10">
        <f t="shared" si="5"/>
        <v>5</v>
      </c>
      <c r="B39" s="49">
        <f ca="1">EDATE($B$34,5)</f>
        <v>44378</v>
      </c>
      <c r="C39" s="11">
        <f t="shared" ref="C39:C57" ca="1" si="7">IF(B39&gt;$F$19,"",IF(B39=$F$19,B39-1,B39))</f>
        <v>44378</v>
      </c>
      <c r="D39" s="10">
        <f t="shared" ca="1" si="2"/>
        <v>30</v>
      </c>
      <c r="E39" s="12">
        <f t="shared" ca="1" si="3"/>
        <v>934553.34650261782</v>
      </c>
      <c r="F39" s="12">
        <f ca="1">IF(AND(A38="",A40=""),"",IF(A39="",SUM($F$35:F38),IF(A39=$D$8,$E$34-SUM($F$35:F38),$F$22-G39)))</f>
        <v>8202.8845422383092</v>
      </c>
      <c r="G39" s="12">
        <f ca="1">IF(A38=$D$8,SUM($G$35:G38),IF(A38&gt;$D$8,"",E38*D39*$D$9/IF(OR(YEAR(C39)=2020,YEAR(C39)=2024),366,365)))</f>
        <v>23238.295371809781</v>
      </c>
      <c r="H39" s="12">
        <f ca="1">IF(A38=$D$8,SUM($H$35:H38),IF(A38="","",(G39+F39)))</f>
        <v>31441.179914048091</v>
      </c>
      <c r="I39" s="12" t="str">
        <f>IF(A39="",$I$34,"")</f>
        <v/>
      </c>
      <c r="J39" s="12" t="str">
        <f>IF(A39="",$J$34,"")</f>
        <v/>
      </c>
      <c r="K39" s="12" t="str">
        <f>IF(A39="",$K$34,"")</f>
        <v/>
      </c>
      <c r="L39" s="12" t="str">
        <f>IF(A39="",$L$34,"")</f>
        <v/>
      </c>
      <c r="M39" s="12" t="str">
        <f t="shared" ref="M39:M47" si="8">IF(A39="",$M$34,"")</f>
        <v/>
      </c>
      <c r="N39" s="12" t="str">
        <f>IF(A39="",$N$34,"")</f>
        <v/>
      </c>
      <c r="O39" s="12" t="str">
        <f>IF(A39="",$O$34,"")</f>
        <v/>
      </c>
      <c r="P39" s="12"/>
      <c r="Q39" s="51" t="str">
        <f>IF(A38=$D$8,XIRR(S$34:S38,C$34:C38),"")</f>
        <v/>
      </c>
      <c r="R39" s="115" t="str">
        <f t="shared" si="6"/>
        <v/>
      </c>
      <c r="S39" s="115">
        <f t="shared" ca="1" si="4"/>
        <v>31441.179914048091</v>
      </c>
    </row>
    <row r="40" spans="1:21" x14ac:dyDescent="0.35">
      <c r="A40" s="10">
        <f t="shared" si="5"/>
        <v>6</v>
      </c>
      <c r="B40" s="49">
        <f ca="1">EDATE($B$34,6)</f>
        <v>44409</v>
      </c>
      <c r="C40" s="11">
        <f t="shared" ca="1" si="7"/>
        <v>44409</v>
      </c>
      <c r="D40" s="10">
        <f t="shared" ca="1" si="2"/>
        <v>31</v>
      </c>
      <c r="E40" s="12">
        <f t="shared" ca="1" si="3"/>
        <v>926916.13647103601</v>
      </c>
      <c r="F40" s="12">
        <f ca="1">IF(AND(A39="",A41=""),"",IF(A40="",SUM($F$35:F39),IF(A40=$D$8,$E$34-SUM($F$35:F39),$F$22-G40)))</f>
        <v>7637.2100315818243</v>
      </c>
      <c r="G40" s="12">
        <f ca="1">IF(A39=$D$8,SUM($G$35:G39),IF(A39&gt;$D$8,"",E39*D40*$D$9/IF(OR(YEAR(C40)=2020,YEAR(C40)=2024),366,365)))</f>
        <v>23803.969882466266</v>
      </c>
      <c r="H40" s="12">
        <f ca="1">IF(A39=$D$8,SUM($H$35:H39),IF(A39="","",(G40+F40)))</f>
        <v>31441.179914048091</v>
      </c>
      <c r="I40" s="12" t="str">
        <f t="shared" ref="I40:I47" si="9">IF(A40="",$I$34,"")</f>
        <v/>
      </c>
      <c r="J40" s="12" t="str">
        <f t="shared" ref="J40:J47" si="10">IF(A40="",$J$34,"")</f>
        <v/>
      </c>
      <c r="K40" s="12" t="str">
        <f t="shared" ref="K40:K47" si="11">IF(A40="",$K$34,"")</f>
        <v/>
      </c>
      <c r="L40" s="12" t="str">
        <f t="shared" ref="L40:L47" si="12">IF(A40="",$L$34,"")</f>
        <v/>
      </c>
      <c r="M40" s="12" t="str">
        <f t="shared" si="8"/>
        <v/>
      </c>
      <c r="N40" s="12"/>
      <c r="O40" s="12" t="str">
        <f t="shared" ref="O40:O46" si="13">IF(A40="",$O$34,"")</f>
        <v/>
      </c>
      <c r="P40" s="12"/>
      <c r="Q40" s="51" t="str">
        <f>IF(A39=$D$8,XIRR(S$34:S39,C$34:C39),"")</f>
        <v/>
      </c>
      <c r="R40" s="115" t="str">
        <f t="shared" si="6"/>
        <v/>
      </c>
      <c r="S40" s="115">
        <f t="shared" ca="1" si="4"/>
        <v>31441.179914048091</v>
      </c>
    </row>
    <row r="41" spans="1:21" x14ac:dyDescent="0.35">
      <c r="A41" s="10">
        <f t="shared" si="5"/>
        <v>7</v>
      </c>
      <c r="B41" s="49">
        <f ca="1">EDATE($B$34,7)</f>
        <v>44440</v>
      </c>
      <c r="C41" s="11">
        <f t="shared" ca="1" si="7"/>
        <v>44440</v>
      </c>
      <c r="D41" s="10">
        <f t="shared" ca="1" si="2"/>
        <v>31</v>
      </c>
      <c r="E41" s="12">
        <f t="shared" ca="1" si="3"/>
        <v>919084.39937659772</v>
      </c>
      <c r="F41" s="12">
        <f ca="1">IF(AND(A40="",A42=""),"",IF(A41="",SUM($F$35:F40),IF(A41=$D$8,$E$34-SUM($F$35:F40),$F$22-G41)))</f>
        <v>7831.7370944382965</v>
      </c>
      <c r="G41" s="12">
        <f ca="1">IF(A40=$D$8,SUM($G$35:G40),IF(A40&gt;$D$8,"",E40*D41*$D$9/IF(OR(YEAR(C41)=2020,YEAR(C41)=2024),366,365)))</f>
        <v>23609.442819609794</v>
      </c>
      <c r="H41" s="12">
        <f ca="1">IF(A40=$D$8,SUM($H$35:H40),IF(A40="","",(G41+F41)))</f>
        <v>31441.179914048091</v>
      </c>
      <c r="I41" s="12" t="str">
        <f t="shared" si="9"/>
        <v/>
      </c>
      <c r="J41" s="12" t="str">
        <f t="shared" si="10"/>
        <v/>
      </c>
      <c r="K41" s="12" t="str">
        <f t="shared" si="11"/>
        <v/>
      </c>
      <c r="L41" s="12" t="str">
        <f t="shared" si="12"/>
        <v/>
      </c>
      <c r="M41" s="12" t="str">
        <f t="shared" si="8"/>
        <v/>
      </c>
      <c r="N41" s="12"/>
      <c r="O41" s="12" t="str">
        <f t="shared" si="13"/>
        <v/>
      </c>
      <c r="P41" s="12"/>
      <c r="Q41" s="51" t="str">
        <f>IF(A40=$D$8,XIRR(S$34:S40,C$34:C40),"")</f>
        <v/>
      </c>
      <c r="R41" s="115" t="str">
        <f t="shared" si="6"/>
        <v/>
      </c>
      <c r="S41" s="115">
        <f t="shared" ca="1" si="4"/>
        <v>31441.179914048091</v>
      </c>
    </row>
    <row r="42" spans="1:21" x14ac:dyDescent="0.35">
      <c r="A42" s="10">
        <f t="shared" si="5"/>
        <v>8</v>
      </c>
      <c r="B42" s="49">
        <f ca="1">EDATE($B$34,8)</f>
        <v>44470</v>
      </c>
      <c r="C42" s="11">
        <f t="shared" ca="1" si="7"/>
        <v>44470</v>
      </c>
      <c r="D42" s="10">
        <f t="shared" ca="1" si="2"/>
        <v>30</v>
      </c>
      <c r="E42" s="12">
        <f t="shared" ca="1" si="3"/>
        <v>910298.02039732016</v>
      </c>
      <c r="F42" s="12">
        <f ca="1">IF(AND(A41="",A43=""),"",IF(A42="",SUM($F$35:F41),IF(A42=$D$8,$E$34-SUM($F$35:F41),$F$22-G42)))</f>
        <v>8786.3789792775424</v>
      </c>
      <c r="G42" s="12">
        <f ca="1">IF(A41=$D$8,SUM($G$35:G41),IF(A41&gt;$D$8,"",E41*D42*$D$9/IF(OR(YEAR(C42)=2020,YEAR(C42)=2024),366,365)))</f>
        <v>22654.800934770548</v>
      </c>
      <c r="H42" s="12">
        <f ca="1">IF(A41=$D$8,SUM($H$35:H41),IF(A41="","",(G42+F42)))</f>
        <v>31441.179914048091</v>
      </c>
      <c r="I42" s="12" t="str">
        <f t="shared" si="9"/>
        <v/>
      </c>
      <c r="J42" s="12" t="str">
        <f t="shared" si="10"/>
        <v/>
      </c>
      <c r="K42" s="12" t="str">
        <f t="shared" si="11"/>
        <v/>
      </c>
      <c r="L42" s="12" t="str">
        <f t="shared" si="12"/>
        <v/>
      </c>
      <c r="M42" s="12" t="str">
        <f t="shared" si="8"/>
        <v/>
      </c>
      <c r="N42" s="12"/>
      <c r="O42" s="12" t="str">
        <f t="shared" si="13"/>
        <v/>
      </c>
      <c r="P42" s="12"/>
      <c r="Q42" s="51" t="str">
        <f>IF(A41=$D$8,XIRR(S$34:S41,C$34:C41),"")</f>
        <v/>
      </c>
      <c r="R42" s="115" t="str">
        <f t="shared" si="6"/>
        <v/>
      </c>
      <c r="S42" s="115">
        <f t="shared" ca="1" si="4"/>
        <v>31441.179914048091</v>
      </c>
    </row>
    <row r="43" spans="1:21" x14ac:dyDescent="0.35">
      <c r="A43" s="10">
        <f t="shared" si="5"/>
        <v>9</v>
      </c>
      <c r="B43" s="49">
        <f ca="1">EDATE($B$34,9)</f>
        <v>44501</v>
      </c>
      <c r="C43" s="11">
        <f t="shared" ca="1" si="7"/>
        <v>44501</v>
      </c>
      <c r="D43" s="10">
        <f t="shared" ca="1" si="2"/>
        <v>31</v>
      </c>
      <c r="E43" s="12">
        <f t="shared" ca="1" si="3"/>
        <v>902043.00395130448</v>
      </c>
      <c r="F43" s="12">
        <f ca="1">IF(AND(A42="",A44=""),"",IF(A43="",SUM($F$35:F42),IF(A43=$D$8,$E$34-SUM($F$35:F42),$F$22-G43)))</f>
        <v>8255.0164460156375</v>
      </c>
      <c r="G43" s="12">
        <f ca="1">IF(A42=$D$8,SUM($G$35:G42),IF(A42&gt;$D$8,"",E42*D43*$D$9/IF(OR(YEAR(C43)=2020,YEAR(C43)=2024),366,365)))</f>
        <v>23186.163468032453</v>
      </c>
      <c r="H43" s="12">
        <f ca="1">IF(A42=$D$8,SUM($H$35:H42),IF(A42="","",(G43+F43)))</f>
        <v>31441.179914048091</v>
      </c>
      <c r="I43" s="12" t="str">
        <f t="shared" si="9"/>
        <v/>
      </c>
      <c r="J43" s="12" t="str">
        <f t="shared" si="10"/>
        <v/>
      </c>
      <c r="K43" s="12" t="str">
        <f t="shared" si="11"/>
        <v/>
      </c>
      <c r="L43" s="12" t="str">
        <f t="shared" si="12"/>
        <v/>
      </c>
      <c r="M43" s="12" t="str">
        <f t="shared" si="8"/>
        <v/>
      </c>
      <c r="N43" s="12"/>
      <c r="O43" s="12" t="str">
        <f t="shared" si="13"/>
        <v/>
      </c>
      <c r="P43" s="12"/>
      <c r="Q43" s="51" t="str">
        <f>IF(A42=$D$8,XIRR(S$34:S42,C$34:C42),"")</f>
        <v/>
      </c>
      <c r="R43" s="115" t="str">
        <f t="shared" si="6"/>
        <v/>
      </c>
      <c r="S43" s="115">
        <f t="shared" ca="1" si="4"/>
        <v>31441.179914048091</v>
      </c>
    </row>
    <row r="44" spans="1:21" x14ac:dyDescent="0.35">
      <c r="A44" s="10">
        <f t="shared" si="5"/>
        <v>10</v>
      </c>
      <c r="B44" s="49">
        <f ca="1">EDATE($B$34,10)</f>
        <v>44531</v>
      </c>
      <c r="C44" s="11">
        <f t="shared" ca="1" si="7"/>
        <v>44531</v>
      </c>
      <c r="D44" s="10">
        <f t="shared" ca="1" si="2"/>
        <v>30</v>
      </c>
      <c r="E44" s="12">
        <f t="shared" ca="1" si="3"/>
        <v>892836.56624698208</v>
      </c>
      <c r="F44" s="12">
        <f ca="1">IF(AND(A43="",A45=""),"",IF(A44="",SUM($F$35:F43),IF(A44=$D$8,$E$34-SUM($F$35:F43),$F$22-G44)))</f>
        <v>9206.4377043223722</v>
      </c>
      <c r="G44" s="12">
        <f ca="1">IF(A43=$D$8,SUM($G$35:G43),IF(A43&gt;$D$8,"",E43*D44*$D$9/IF(OR(YEAR(C44)=2020,YEAR(C44)=2024),366,365)))</f>
        <v>22234.742209725719</v>
      </c>
      <c r="H44" s="12">
        <f ca="1">IF(A43=$D$8,SUM($H$35:H43),IF(A43="","",(G44+F44)))</f>
        <v>31441.179914048091</v>
      </c>
      <c r="I44" s="12" t="str">
        <f t="shared" si="9"/>
        <v/>
      </c>
      <c r="J44" s="12" t="str">
        <f t="shared" si="10"/>
        <v/>
      </c>
      <c r="K44" s="12" t="str">
        <f t="shared" si="11"/>
        <v/>
      </c>
      <c r="L44" s="12" t="str">
        <f t="shared" si="12"/>
        <v/>
      </c>
      <c r="M44" s="12" t="str">
        <f t="shared" si="8"/>
        <v/>
      </c>
      <c r="N44" s="12"/>
      <c r="O44" s="12" t="str">
        <f t="shared" si="13"/>
        <v/>
      </c>
      <c r="P44" s="12"/>
      <c r="Q44" s="51" t="str">
        <f>IF(A43=$D$8,XIRR(S$34:S43,C$34:C43),"")</f>
        <v/>
      </c>
      <c r="R44" s="115" t="str">
        <f t="shared" si="6"/>
        <v/>
      </c>
      <c r="S44" s="115">
        <f t="shared" ca="1" si="4"/>
        <v>31441.179914048091</v>
      </c>
    </row>
    <row r="45" spans="1:21" x14ac:dyDescent="0.35">
      <c r="A45" s="10">
        <f t="shared" si="5"/>
        <v>11</v>
      </c>
      <c r="B45" s="49">
        <f ca="1">EDATE($B$34,11)</f>
        <v>44562</v>
      </c>
      <c r="C45" s="11">
        <f t="shared" ca="1" si="7"/>
        <v>44562</v>
      </c>
      <c r="D45" s="10">
        <f t="shared" ca="1" si="2"/>
        <v>31</v>
      </c>
      <c r="E45" s="12">
        <f t="shared" ca="1" si="3"/>
        <v>884136.78981989715</v>
      </c>
      <c r="F45" s="12">
        <f ca="1">IF(AND(A44="",A46=""),"",IF(A45="",SUM($F$35:F44),IF(A45=$D$8,$E$34-SUM($F$35:F44),$F$22-G45)))</f>
        <v>8699.7764270848929</v>
      </c>
      <c r="G45" s="12">
        <f ca="1">IF(A44=$D$8,SUM($G$35:G44),IF(A44&gt;$D$8,"",E44*D45*$D$9/IF(OR(YEAR(C45)=2020,YEAR(C45)=2024),366,365)))</f>
        <v>22741.403486963198</v>
      </c>
      <c r="H45" s="12">
        <f ca="1">IF(A44=$D$8,SUM($H$35:H44),IF(A44="","",(G45+F45)))</f>
        <v>31441.179914048091</v>
      </c>
      <c r="I45" s="12" t="str">
        <f t="shared" si="9"/>
        <v/>
      </c>
      <c r="J45" s="12" t="str">
        <f t="shared" si="10"/>
        <v/>
      </c>
      <c r="K45" s="12" t="str">
        <f t="shared" si="11"/>
        <v/>
      </c>
      <c r="L45" s="12" t="str">
        <f t="shared" si="12"/>
        <v/>
      </c>
      <c r="M45" s="12" t="str">
        <f t="shared" si="8"/>
        <v/>
      </c>
      <c r="N45" s="12"/>
      <c r="O45" s="12" t="str">
        <f t="shared" si="13"/>
        <v/>
      </c>
      <c r="P45" s="12"/>
      <c r="Q45" s="51" t="str">
        <f>IF(A44=$D$8,XIRR(S$34:S44,C$34:C44),"")</f>
        <v/>
      </c>
      <c r="R45" s="115" t="str">
        <f t="shared" si="6"/>
        <v/>
      </c>
      <c r="S45" s="115">
        <f t="shared" ca="1" si="4"/>
        <v>31441.179914048091</v>
      </c>
    </row>
    <row r="46" spans="1:21" x14ac:dyDescent="0.35">
      <c r="A46" s="10">
        <f t="shared" si="5"/>
        <v>12</v>
      </c>
      <c r="B46" s="49">
        <f ca="1">EDATE($B$34,12)</f>
        <v>44593</v>
      </c>
      <c r="C46" s="11">
        <f t="shared" ca="1" si="7"/>
        <v>44593</v>
      </c>
      <c r="D46" s="10">
        <f t="shared" ca="1" si="2"/>
        <v>31</v>
      </c>
      <c r="E46" s="12">
        <f t="shared" ca="1" si="3"/>
        <v>875215.42174496304</v>
      </c>
      <c r="F46" s="12">
        <f ca="1">IF(AND(A45="",A47=""),"",IF(A46="",SUM($F$35:F45),IF(A46=$D$8,$E$34-SUM($F$35:F45),$F$22-G46)))</f>
        <v>8921.3680749341111</v>
      </c>
      <c r="G46" s="12">
        <f ca="1">IF(A45=$D$8,SUM($G$35:G45),IF(A45&gt;$D$8,"",E45*D46*$D$9/IF(OR(YEAR(C46)=2020,YEAR(C46)=2024),366,365)))</f>
        <v>22519.81183911398</v>
      </c>
      <c r="H46" s="12">
        <f ca="1">IF(A45=$D$8,SUM($H$35:H45),IF(A45="","",(G46+F46)))</f>
        <v>31441.179914048091</v>
      </c>
      <c r="I46" s="12" t="str">
        <f t="shared" si="9"/>
        <v/>
      </c>
      <c r="J46" s="12" t="str">
        <f t="shared" si="10"/>
        <v/>
      </c>
      <c r="K46" s="12" t="str">
        <f t="shared" si="11"/>
        <v/>
      </c>
      <c r="L46" s="12" t="str">
        <f t="shared" si="12"/>
        <v/>
      </c>
      <c r="M46" s="12" t="str">
        <f t="shared" si="8"/>
        <v/>
      </c>
      <c r="N46" s="12"/>
      <c r="O46" s="12" t="str">
        <f t="shared" si="13"/>
        <v/>
      </c>
      <c r="P46" s="12"/>
      <c r="Q46" s="51" t="str">
        <f>IF(A45=$D$8,XIRR(S$34:S45,C$34:C45),"")</f>
        <v/>
      </c>
      <c r="R46" s="115" t="str">
        <f t="shared" si="6"/>
        <v/>
      </c>
      <c r="S46" s="115">
        <f t="shared" ca="1" si="4"/>
        <v>31441.179914048091</v>
      </c>
    </row>
    <row r="47" spans="1:21" x14ac:dyDescent="0.35">
      <c r="A47" s="10">
        <f t="shared" si="5"/>
        <v>13</v>
      </c>
      <c r="B47" s="49">
        <f ca="1">EDATE($B$34,13)</f>
        <v>44621</v>
      </c>
      <c r="C47" s="11">
        <f t="shared" ca="1" si="7"/>
        <v>44621</v>
      </c>
      <c r="D47" s="10">
        <f ca="1">IF(A47&gt;$D$8,"",C47-C46)</f>
        <v>28</v>
      </c>
      <c r="E47" s="12">
        <f t="shared" ref="E47:E110" ca="1" si="14">IF(A47&gt;$D$8,"",E46-F47)</f>
        <v>863909.47180208424</v>
      </c>
      <c r="F47" s="12">
        <f ca="1">IF(AND(A46="",A48=""),"",IF(A47="",SUM($F$35:F46),IF(A47=$D$8,$E$34-SUM($F$35:F46),$F$22-G47)))</f>
        <v>11305.949942878764</v>
      </c>
      <c r="G47" s="12">
        <f ca="1">IF(A46=$D$8,SUM($G$35:G46),IF(A46&gt;$D$8,"",E46*D47*$D$9/IF(OR(YEAR(C47)=2020,YEAR(C47)=2024),366,365)))</f>
        <v>20135.229971169327</v>
      </c>
      <c r="H47" s="12">
        <f ca="1">IF(A46=$D$8,SUM($H$35:H46),IF(A46="","",(G47+F47)))</f>
        <v>31441.179914048091</v>
      </c>
      <c r="I47" s="12" t="str">
        <f t="shared" si="9"/>
        <v/>
      </c>
      <c r="J47" s="12" t="str">
        <f t="shared" si="10"/>
        <v/>
      </c>
      <c r="K47" s="12" t="str">
        <f t="shared" si="11"/>
        <v/>
      </c>
      <c r="L47" s="12" t="str">
        <f t="shared" si="12"/>
        <v/>
      </c>
      <c r="M47" s="12" t="str">
        <f t="shared" si="8"/>
        <v/>
      </c>
      <c r="N47" s="12"/>
      <c r="O47" s="12">
        <f>IF($F$8&gt;12,($P$17),IF($A$46=$F$8,O34,""))</f>
        <v>2181</v>
      </c>
      <c r="P47" s="12"/>
      <c r="Q47" s="51" t="str">
        <f>IF(A46=$D$8,XIRR(S$34:S46,C$34:C46),"")</f>
        <v/>
      </c>
      <c r="R47" s="115" t="str">
        <f t="shared" si="6"/>
        <v/>
      </c>
      <c r="S47" s="115">
        <f t="shared" ca="1" si="4"/>
        <v>33622.179914048087</v>
      </c>
    </row>
    <row r="48" spans="1:21" x14ac:dyDescent="0.35">
      <c r="A48" s="10">
        <f t="shared" si="5"/>
        <v>14</v>
      </c>
      <c r="B48" s="49">
        <f ca="1">EDATE($B$34,14)</f>
        <v>44652</v>
      </c>
      <c r="C48" s="11">
        <f t="shared" ca="1" si="7"/>
        <v>44652</v>
      </c>
      <c r="D48" s="10">
        <f t="shared" ref="D48:D111" ca="1" si="15">IF(A48&gt;$D$8,"",C48-C47)</f>
        <v>31</v>
      </c>
      <c r="E48" s="12">
        <f t="shared" ca="1" si="14"/>
        <v>854472.89454117802</v>
      </c>
      <c r="F48" s="12">
        <f ca="1">IF(AND(A47="",A49=""),"",IF(A48="",SUM($F$35:F47),IF(A48=$D$8,$E$34-SUM($F$35:F47),$F$22-G48)))</f>
        <v>9436.5772609061823</v>
      </c>
      <c r="G48" s="12">
        <f ca="1">IF(A47=$D$8,SUM($G$35:G47),IF(A47&gt;$D$8,"",E47*D48*$D$9/IF(OR(YEAR(C48)=2020,YEAR(C48)=2024),366,365)))</f>
        <v>22004.602653141908</v>
      </c>
      <c r="H48" s="12">
        <f ca="1">IF(A47=$D$8,SUM($H$35:H47),IF(A47="","",(G48+F48)))</f>
        <v>31441.179914048091</v>
      </c>
      <c r="I48" s="12" t="str">
        <f>IF(A47=$F$8,$I$34,"")</f>
        <v/>
      </c>
      <c r="J48" s="12" t="str">
        <f>IF(A47=$F$8,$J$34,"")</f>
        <v/>
      </c>
      <c r="K48" s="12" t="str">
        <f>IF(A47=$F$8,$K$34,"")</f>
        <v/>
      </c>
      <c r="L48" s="12" t="str">
        <f>IF(A47=$F$8,$L$34,"")</f>
        <v/>
      </c>
      <c r="M48" s="12" t="str">
        <f t="shared" ref="M48:M79" si="16">IF(A47=$F$8,$M$34,"")</f>
        <v/>
      </c>
      <c r="N48" s="12" t="str">
        <f>IF(A47=$F$8,$N$34,"")</f>
        <v/>
      </c>
      <c r="O48" s="12" t="str">
        <f>IF(A47=$F$8,$O$34,"")</f>
        <v/>
      </c>
      <c r="P48" s="12"/>
      <c r="Q48" s="51" t="str">
        <f>IF(A47=$D$8,XIRR(S$34:S47,C$34:C47),"")</f>
        <v/>
      </c>
      <c r="R48" s="115" t="str">
        <f t="shared" si="6"/>
        <v/>
      </c>
      <c r="S48" s="115">
        <f t="shared" ca="1" si="4"/>
        <v>31441.179914048091</v>
      </c>
    </row>
    <row r="49" spans="1:19" x14ac:dyDescent="0.35">
      <c r="A49" s="10">
        <f t="shared" si="5"/>
        <v>15</v>
      </c>
      <c r="B49" s="49">
        <f ca="1">EDATE($B$34,15)</f>
        <v>44682</v>
      </c>
      <c r="C49" s="11">
        <f t="shared" ca="1" si="7"/>
        <v>44682</v>
      </c>
      <c r="D49" s="10">
        <f t="shared" ca="1" si="15"/>
        <v>30</v>
      </c>
      <c r="E49" s="12">
        <f t="shared" ca="1" si="14"/>
        <v>844093.88622216275</v>
      </c>
      <c r="F49" s="12">
        <f ca="1">IF(AND(A48="",A50=""),"",IF(A49="",SUM($F$35:F48),IF(A49=$D$8,$E$34-SUM($F$35:F48),$F$22-G49)))</f>
        <v>10379.008319015273</v>
      </c>
      <c r="G49" s="12">
        <f ca="1">IF(A48=$D$8,SUM($G$35:G48),IF(A48&gt;$D$8,"",E48*D49*$D$9/IF(OR(YEAR(C49)=2020,YEAR(C49)=2024),366,365)))</f>
        <v>21062.171595032818</v>
      </c>
      <c r="H49" s="12">
        <f ca="1">IF(A48=$D$8,SUM($H$35:H48),IF(A48="","",(G49+F49)))</f>
        <v>31441.179914048091</v>
      </c>
      <c r="I49" s="12" t="str">
        <f t="shared" ref="I49:I95" si="17">IF(A48=$F$8,$I$34,"")</f>
        <v/>
      </c>
      <c r="J49" s="12" t="str">
        <f t="shared" ref="J49:J95" si="18">IF(A48=$F$8,$J$34,"")</f>
        <v/>
      </c>
      <c r="K49" s="12" t="str">
        <f t="shared" ref="K49:K95" si="19">IF(A48=$F$8,$K$34,"")</f>
        <v/>
      </c>
      <c r="L49" s="12" t="str">
        <f t="shared" ref="L49:L95" si="20">IF(A48=$F$8,$L$34,"")</f>
        <v/>
      </c>
      <c r="M49" s="12" t="str">
        <f t="shared" si="16"/>
        <v/>
      </c>
      <c r="N49" s="12" t="str">
        <f t="shared" ref="N49:N95" si="21">IF(A48=$F$8,$N$34,"")</f>
        <v/>
      </c>
      <c r="O49" s="12" t="str">
        <f t="shared" ref="O49:O94" si="22">IF(A48=$F$8,$O$34,"")</f>
        <v/>
      </c>
      <c r="P49" s="12"/>
      <c r="Q49" s="51" t="str">
        <f>IF(A48=$D$8,XIRR(S$34:S48,C$34:C48),"")</f>
        <v/>
      </c>
      <c r="R49" s="115" t="str">
        <f t="shared" si="6"/>
        <v/>
      </c>
      <c r="S49" s="115">
        <f t="shared" ca="1" si="4"/>
        <v>31441.179914048091</v>
      </c>
    </row>
    <row r="50" spans="1:19" x14ac:dyDescent="0.35">
      <c r="A50" s="10">
        <f t="shared" si="5"/>
        <v>16</v>
      </c>
      <c r="B50" s="49">
        <f ca="1">EDATE($B$34,16)</f>
        <v>44713</v>
      </c>
      <c r="C50" s="11">
        <f t="shared" ca="1" si="7"/>
        <v>44713</v>
      </c>
      <c r="D50" s="10">
        <f t="shared" ca="1" si="15"/>
        <v>31</v>
      </c>
      <c r="E50" s="12">
        <f t="shared" ca="1" si="14"/>
        <v>834152.58699528954</v>
      </c>
      <c r="F50" s="12">
        <f ca="1">IF(AND(A49="",A51=""),"",IF(A50="",SUM($F$35:F49),IF(A50=$D$8,$E$34-SUM($F$35:F49),$F$22-G50)))</f>
        <v>9941.2992268732269</v>
      </c>
      <c r="G50" s="12">
        <f ca="1">IF(A49=$D$8,SUM($G$35:G49),IF(A49&gt;$D$8,"",E49*D50*$D$9/IF(OR(YEAR(C50)=2020,YEAR(C50)=2024),366,365)))</f>
        <v>21499.880687174864</v>
      </c>
      <c r="H50" s="12">
        <f ca="1">IF(A49=$D$8,SUM($H$35:H49),IF(A49="","",(G50+F50)))</f>
        <v>31441.179914048091</v>
      </c>
      <c r="I50" s="12" t="str">
        <f t="shared" si="17"/>
        <v/>
      </c>
      <c r="J50" s="12" t="str">
        <f t="shared" si="18"/>
        <v/>
      </c>
      <c r="K50" s="12" t="str">
        <f t="shared" si="19"/>
        <v/>
      </c>
      <c r="L50" s="12" t="str">
        <f t="shared" si="20"/>
        <v/>
      </c>
      <c r="M50" s="12" t="str">
        <f t="shared" si="16"/>
        <v/>
      </c>
      <c r="N50" s="12" t="str">
        <f t="shared" si="21"/>
        <v/>
      </c>
      <c r="O50" s="12" t="str">
        <f t="shared" si="22"/>
        <v/>
      </c>
      <c r="P50" s="12"/>
      <c r="Q50" s="51" t="str">
        <f>IF(A49=$D$8,XIRR(S$34:S49,C$34:C49),"")</f>
        <v/>
      </c>
      <c r="R50" s="115" t="str">
        <f t="shared" si="6"/>
        <v/>
      </c>
      <c r="S50" s="115">
        <f t="shared" ca="1" si="4"/>
        <v>31441.179914048091</v>
      </c>
    </row>
    <row r="51" spans="1:19" x14ac:dyDescent="0.35">
      <c r="A51" s="10">
        <f t="shared" si="5"/>
        <v>17</v>
      </c>
      <c r="B51" s="49">
        <f ca="1">EDATE($B$34,17)</f>
        <v>44743</v>
      </c>
      <c r="C51" s="11">
        <f t="shared" ca="1" si="7"/>
        <v>44743</v>
      </c>
      <c r="D51" s="10">
        <f t="shared" ca="1" si="15"/>
        <v>30</v>
      </c>
      <c r="E51" s="12">
        <f t="shared" ca="1" si="14"/>
        <v>823272.69701328699</v>
      </c>
      <c r="F51" s="12">
        <f ca="1">IF(AND(A50="",A52=""),"",IF(A51="",SUM($F$35:F50),IF(A51=$D$8,$E$34-SUM($F$35:F50),$F$22-G51)))</f>
        <v>10879.889982002554</v>
      </c>
      <c r="G51" s="12">
        <f ca="1">IF(A50=$D$8,SUM($G$35:G50),IF(A50&gt;$D$8,"",E50*D51*$D$9/IF(OR(YEAR(C51)=2020,YEAR(C51)=2024),366,365)))</f>
        <v>20561.289932045536</v>
      </c>
      <c r="H51" s="12">
        <f ca="1">IF(A50=$D$8,SUM($H$35:H50),IF(A50="","",(G51+F51)))</f>
        <v>31441.179914048091</v>
      </c>
      <c r="I51" s="12" t="str">
        <f t="shared" si="17"/>
        <v/>
      </c>
      <c r="J51" s="12" t="str">
        <f t="shared" si="18"/>
        <v/>
      </c>
      <c r="K51" s="12" t="str">
        <f t="shared" si="19"/>
        <v/>
      </c>
      <c r="L51" s="12" t="str">
        <f t="shared" si="20"/>
        <v/>
      </c>
      <c r="M51" s="12" t="str">
        <f t="shared" si="16"/>
        <v/>
      </c>
      <c r="N51" s="12" t="str">
        <f t="shared" si="21"/>
        <v/>
      </c>
      <c r="O51" s="12" t="str">
        <f t="shared" si="22"/>
        <v/>
      </c>
      <c r="P51" s="12"/>
      <c r="Q51" s="51" t="str">
        <f>IF(A50=$D$8,XIRR(S$34:S50,C$34:C50),"")</f>
        <v/>
      </c>
      <c r="R51" s="115" t="str">
        <f t="shared" si="6"/>
        <v/>
      </c>
      <c r="S51" s="115">
        <f t="shared" ca="1" si="4"/>
        <v>31441.179914048091</v>
      </c>
    </row>
    <row r="52" spans="1:19" x14ac:dyDescent="0.35">
      <c r="A52" s="10">
        <f t="shared" si="5"/>
        <v>18</v>
      </c>
      <c r="B52" s="49">
        <f ca="1">EDATE($B$34,18)</f>
        <v>44774</v>
      </c>
      <c r="C52" s="11">
        <f t="shared" ca="1" si="7"/>
        <v>44774</v>
      </c>
      <c r="D52" s="10">
        <f t="shared" ca="1" si="15"/>
        <v>31</v>
      </c>
      <c r="E52" s="12">
        <f t="shared" ca="1" si="14"/>
        <v>812801.0621317398</v>
      </c>
      <c r="F52" s="12">
        <f ca="1">IF(AND(A51="",A53=""),"",IF(A52="",SUM($F$35:F51),IF(A52=$D$8,$E$34-SUM($F$35:F51),$F$22-G52)))</f>
        <v>10471.634881547194</v>
      </c>
      <c r="G52" s="12">
        <f ca="1">IF(A51=$D$8,SUM($G$35:G51),IF(A51&gt;$D$8,"",E51*D52*$D$9/IF(OR(YEAR(C52)=2020,YEAR(C52)=2024),366,365)))</f>
        <v>20969.545032500897</v>
      </c>
      <c r="H52" s="12">
        <f ca="1">IF(A51=$D$8,SUM($H$35:H51),IF(A51="","",(G52+F52)))</f>
        <v>31441.179914048091</v>
      </c>
      <c r="I52" s="12" t="str">
        <f t="shared" si="17"/>
        <v/>
      </c>
      <c r="J52" s="12" t="str">
        <f t="shared" si="18"/>
        <v/>
      </c>
      <c r="K52" s="12" t="str">
        <f t="shared" si="19"/>
        <v/>
      </c>
      <c r="L52" s="12" t="str">
        <f t="shared" si="20"/>
        <v/>
      </c>
      <c r="M52" s="12" t="str">
        <f t="shared" si="16"/>
        <v/>
      </c>
      <c r="N52" s="12" t="str">
        <f t="shared" si="21"/>
        <v/>
      </c>
      <c r="O52" s="12" t="str">
        <f t="shared" si="22"/>
        <v/>
      </c>
      <c r="P52" s="12"/>
      <c r="Q52" s="51" t="str">
        <f>IF(A51=$D$8,XIRR(S$34:S51,C$34:C51),"")</f>
        <v/>
      </c>
      <c r="R52" s="115" t="str">
        <f t="shared" si="6"/>
        <v/>
      </c>
      <c r="S52" s="115">
        <f t="shared" ca="1" si="4"/>
        <v>31441.179914048091</v>
      </c>
    </row>
    <row r="53" spans="1:19" x14ac:dyDescent="0.35">
      <c r="A53" s="10">
        <f t="shared" si="5"/>
        <v>19</v>
      </c>
      <c r="B53" s="49">
        <f ca="1">EDATE($B$34,19)</f>
        <v>44805</v>
      </c>
      <c r="C53" s="11">
        <f t="shared" ca="1" si="7"/>
        <v>44805</v>
      </c>
      <c r="D53" s="10">
        <f t="shared" ca="1" si="15"/>
        <v>31</v>
      </c>
      <c r="E53" s="12">
        <f t="shared" ca="1" si="14"/>
        <v>802062.70466846589</v>
      </c>
      <c r="F53" s="12">
        <f ca="1">IF(AND(A52="",A54=""),"",IF(A53="",SUM($F$35:F52),IF(A53=$D$8,$E$34-SUM($F$35:F52),$F$22-G53)))</f>
        <v>10738.357463273922</v>
      </c>
      <c r="G53" s="12">
        <f ca="1">IF(A52=$D$8,SUM($G$35:G52),IF(A52&gt;$D$8,"",E52*D53*$D$9/IF(OR(YEAR(C53)=2020,YEAR(C53)=2024),366,365)))</f>
        <v>20702.822450774169</v>
      </c>
      <c r="H53" s="12">
        <f ca="1">IF(A52=$D$8,SUM($H$35:H52),IF(A52="","",(G53+F53)))</f>
        <v>31441.179914048091</v>
      </c>
      <c r="I53" s="12" t="str">
        <f t="shared" si="17"/>
        <v/>
      </c>
      <c r="J53" s="12" t="str">
        <f t="shared" si="18"/>
        <v/>
      </c>
      <c r="K53" s="12" t="str">
        <f t="shared" si="19"/>
        <v/>
      </c>
      <c r="L53" s="12" t="str">
        <f t="shared" si="20"/>
        <v/>
      </c>
      <c r="M53" s="12" t="str">
        <f t="shared" si="16"/>
        <v/>
      </c>
      <c r="N53" s="12" t="str">
        <f t="shared" si="21"/>
        <v/>
      </c>
      <c r="O53" s="12" t="str">
        <f t="shared" si="22"/>
        <v/>
      </c>
      <c r="P53" s="12"/>
      <c r="Q53" s="51" t="str">
        <f>IF(A52=$D$8,XIRR(S$34:S52,C$34:C52),"")</f>
        <v/>
      </c>
      <c r="R53" s="115" t="str">
        <f t="shared" si="6"/>
        <v/>
      </c>
      <c r="S53" s="115">
        <f t="shared" ca="1" si="4"/>
        <v>31441.179914048091</v>
      </c>
    </row>
    <row r="54" spans="1:19" x14ac:dyDescent="0.35">
      <c r="A54" s="10">
        <f t="shared" si="5"/>
        <v>20</v>
      </c>
      <c r="B54" s="49">
        <f ca="1">EDATE($B$34,20)</f>
        <v>44835</v>
      </c>
      <c r="C54" s="11">
        <f t="shared" ca="1" si="7"/>
        <v>44835</v>
      </c>
      <c r="D54" s="10">
        <f t="shared" ca="1" si="15"/>
        <v>30</v>
      </c>
      <c r="E54" s="12">
        <f t="shared" ca="1" si="14"/>
        <v>790391.82106647862</v>
      </c>
      <c r="F54" s="12">
        <f ca="1">IF(AND(A53="",A55=""),"",IF(A54="",SUM($F$35:F53),IF(A54=$D$8,$E$34-SUM($F$35:F53),$F$22-G54)))</f>
        <v>11670.883601987302</v>
      </c>
      <c r="G54" s="12">
        <f ca="1">IF(A53=$D$8,SUM($G$35:G53),IF(A53&gt;$D$8,"",E53*D54*$D$9/IF(OR(YEAR(C54)=2020,YEAR(C54)=2024),366,365)))</f>
        <v>19770.296312060789</v>
      </c>
      <c r="H54" s="12">
        <f ca="1">IF(A53=$D$8,SUM($H$35:H53),IF(A53="","",(G54+F54)))</f>
        <v>31441.179914048091</v>
      </c>
      <c r="I54" s="12" t="str">
        <f t="shared" si="17"/>
        <v/>
      </c>
      <c r="J54" s="12" t="str">
        <f t="shared" si="18"/>
        <v/>
      </c>
      <c r="K54" s="12" t="str">
        <f t="shared" si="19"/>
        <v/>
      </c>
      <c r="L54" s="12" t="str">
        <f t="shared" si="20"/>
        <v/>
      </c>
      <c r="M54" s="12" t="str">
        <f t="shared" si="16"/>
        <v/>
      </c>
      <c r="N54" s="12" t="str">
        <f t="shared" si="21"/>
        <v/>
      </c>
      <c r="O54" s="12" t="str">
        <f t="shared" si="22"/>
        <v/>
      </c>
      <c r="P54" s="12"/>
      <c r="Q54" s="51" t="str">
        <f>IF(A53=$D$8,XIRR(S$34:S53,C$34:C53),"")</f>
        <v/>
      </c>
      <c r="R54" s="115" t="str">
        <f t="shared" si="6"/>
        <v/>
      </c>
      <c r="S54" s="115">
        <f t="shared" ca="1" si="4"/>
        <v>31441.179914048091</v>
      </c>
    </row>
    <row r="55" spans="1:19" x14ac:dyDescent="0.35">
      <c r="A55" s="10">
        <f t="shared" si="5"/>
        <v>21</v>
      </c>
      <c r="B55" s="49">
        <f ca="1">EDATE($B$34,21)</f>
        <v>44866</v>
      </c>
      <c r="C55" s="11">
        <f t="shared" ca="1" si="7"/>
        <v>44866</v>
      </c>
      <c r="D55" s="10">
        <f t="shared" ca="1" si="15"/>
        <v>31</v>
      </c>
      <c r="E55" s="12">
        <f t="shared" ca="1" si="14"/>
        <v>779082.67874495918</v>
      </c>
      <c r="F55" s="12">
        <f ca="1">IF(AND(A54="",A56=""),"",IF(A55="",SUM($F$35:F54),IF(A55=$D$8,$E$34-SUM($F$35:F54),$F$22-G55)))</f>
        <v>11309.142321519477</v>
      </c>
      <c r="G55" s="12">
        <f ca="1">IF(A54=$D$8,SUM($G$35:G54),IF(A54&gt;$D$8,"",E54*D55*$D$9/IF(OR(YEAR(C55)=2020,YEAR(C55)=2024),366,365)))</f>
        <v>20132.037592528613</v>
      </c>
      <c r="H55" s="12">
        <f ca="1">IF(A54=$D$8,SUM($H$35:H54),IF(A54="","",(G55+F55)))</f>
        <v>31441.179914048091</v>
      </c>
      <c r="I55" s="12" t="str">
        <f t="shared" si="17"/>
        <v/>
      </c>
      <c r="J55" s="12" t="str">
        <f t="shared" si="18"/>
        <v/>
      </c>
      <c r="K55" s="12" t="str">
        <f t="shared" si="19"/>
        <v/>
      </c>
      <c r="L55" s="12" t="str">
        <f t="shared" si="20"/>
        <v/>
      </c>
      <c r="M55" s="12" t="str">
        <f t="shared" si="16"/>
        <v/>
      </c>
      <c r="N55" s="12" t="str">
        <f t="shared" si="21"/>
        <v/>
      </c>
      <c r="O55" s="12" t="str">
        <f t="shared" si="22"/>
        <v/>
      </c>
      <c r="P55" s="12"/>
      <c r="Q55" s="51" t="str">
        <f>IF(A54=$D$8,XIRR(S$34:S54,C$34:C54),"")</f>
        <v/>
      </c>
      <c r="R55" s="115" t="str">
        <f t="shared" si="6"/>
        <v/>
      </c>
      <c r="S55" s="115">
        <f t="shared" ca="1" si="4"/>
        <v>31441.179914048091</v>
      </c>
    </row>
    <row r="56" spans="1:19" x14ac:dyDescent="0.35">
      <c r="A56" s="10">
        <f t="shared" si="5"/>
        <v>22</v>
      </c>
      <c r="B56" s="49">
        <f ca="1">EDATE($B$34,22)</f>
        <v>44896</v>
      </c>
      <c r="C56" s="11">
        <f t="shared" ca="1" si="7"/>
        <v>44896</v>
      </c>
      <c r="D56" s="10">
        <f t="shared" ca="1" si="15"/>
        <v>30</v>
      </c>
      <c r="E56" s="12">
        <f t="shared" ca="1" si="14"/>
        <v>766845.35324370128</v>
      </c>
      <c r="F56" s="12">
        <f ca="1">IF(AND(A55="",A57=""),"",IF(A56="",SUM($F$35:F55),IF(A56=$D$8,$E$34-SUM($F$35:F55),$F$22-G56)))</f>
        <v>12237.325501257958</v>
      </c>
      <c r="G56" s="12">
        <f ca="1">IF(A55=$D$8,SUM($G$35:G55),IF(A55&gt;$D$8,"",E55*D56*$D$9/IF(OR(YEAR(C56)=2020,YEAR(C56)=2024),366,365)))</f>
        <v>19203.854412790133</v>
      </c>
      <c r="H56" s="12">
        <f ca="1">IF(A55=$D$8,SUM($H$35:H55),IF(A55="","",(G56+F56)))</f>
        <v>31441.179914048091</v>
      </c>
      <c r="I56" s="12" t="str">
        <f t="shared" si="17"/>
        <v/>
      </c>
      <c r="J56" s="12" t="str">
        <f t="shared" si="18"/>
        <v/>
      </c>
      <c r="K56" s="12" t="str">
        <f t="shared" si="19"/>
        <v/>
      </c>
      <c r="L56" s="12" t="str">
        <f t="shared" si="20"/>
        <v/>
      </c>
      <c r="M56" s="12" t="str">
        <f t="shared" si="16"/>
        <v/>
      </c>
      <c r="N56" s="12" t="str">
        <f t="shared" si="21"/>
        <v/>
      </c>
      <c r="O56" s="12" t="str">
        <f t="shared" si="22"/>
        <v/>
      </c>
      <c r="P56" s="12"/>
      <c r="Q56" s="51" t="str">
        <f>IF(A55=$D$8,XIRR(S$34:S55,C$34:C55),"")</f>
        <v/>
      </c>
      <c r="R56" s="115" t="str">
        <f t="shared" si="6"/>
        <v/>
      </c>
      <c r="S56" s="115">
        <f t="shared" ca="1" si="4"/>
        <v>31441.179914048091</v>
      </c>
    </row>
    <row r="57" spans="1:19" x14ac:dyDescent="0.35">
      <c r="A57" s="10">
        <f t="shared" si="5"/>
        <v>23</v>
      </c>
      <c r="B57" s="49">
        <f ca="1">EDATE($B$34,23)</f>
        <v>44927</v>
      </c>
      <c r="C57" s="11">
        <f t="shared" ca="1" si="7"/>
        <v>44927</v>
      </c>
      <c r="D57" s="10">
        <f t="shared" ca="1" si="15"/>
        <v>31</v>
      </c>
      <c r="E57" s="12">
        <f t="shared" ca="1" si="14"/>
        <v>754936.45980793086</v>
      </c>
      <c r="F57" s="12">
        <f ca="1">IF(AND(A56="",A58=""),"",IF(A57="",SUM($F$35:F56),IF(A57=$D$8,$E$34-SUM($F$35:F56),$F$22-G57)))</f>
        <v>11908.893435770373</v>
      </c>
      <c r="G57" s="12">
        <f ca="1">IF(A56=$D$8,SUM($G$35:G56),IF(A56&gt;$D$8,"",E56*D57*$D$9/IF(OR(YEAR(C57)=2020,YEAR(C57)=2024),366,365)))</f>
        <v>19532.286478277718</v>
      </c>
      <c r="H57" s="12">
        <f ca="1">IF(A56=$D$8,SUM($H$35:H56),IF(A56="","",(G57+F57)))</f>
        <v>31441.179914048091</v>
      </c>
      <c r="I57" s="12" t="str">
        <f t="shared" si="17"/>
        <v/>
      </c>
      <c r="J57" s="12" t="str">
        <f t="shared" si="18"/>
        <v/>
      </c>
      <c r="K57" s="12" t="str">
        <f t="shared" si="19"/>
        <v/>
      </c>
      <c r="L57" s="12" t="str">
        <f t="shared" si="20"/>
        <v/>
      </c>
      <c r="M57" s="12" t="str">
        <f t="shared" si="16"/>
        <v/>
      </c>
      <c r="N57" s="12" t="str">
        <f t="shared" si="21"/>
        <v/>
      </c>
      <c r="O57" s="12" t="str">
        <f t="shared" si="22"/>
        <v/>
      </c>
      <c r="P57" s="12"/>
      <c r="Q57" s="51" t="str">
        <f>IF(A56=$D$8,XIRR(S$34:S56,C$34:C56),"")</f>
        <v/>
      </c>
      <c r="R57" s="115" t="str">
        <f t="shared" si="6"/>
        <v/>
      </c>
      <c r="S57" s="115">
        <f t="shared" ca="1" si="4"/>
        <v>31441.179914048091</v>
      </c>
    </row>
    <row r="58" spans="1:19" x14ac:dyDescent="0.35">
      <c r="A58" s="10">
        <f t="shared" si="5"/>
        <v>24</v>
      </c>
      <c r="B58" s="49">
        <f ca="1">EDATE($B$34,24)</f>
        <v>44958</v>
      </c>
      <c r="C58" s="11">
        <f ca="1">IF(B58&gt;$F$19,"",IF(B58=$F$19,B58-1,B58))</f>
        <v>44958</v>
      </c>
      <c r="D58" s="10">
        <f t="shared" ca="1" si="15"/>
        <v>31</v>
      </c>
      <c r="E58" s="12">
        <f t="shared" ca="1" si="14"/>
        <v>742724.23543686455</v>
      </c>
      <c r="F58" s="12">
        <f ca="1">IF(AND(A57="",A59=""),"",IF(A58="",SUM($F$35:F57),IF(A58=$D$8,$E$34-SUM($F$35:F57),$F$22-G58)))</f>
        <v>12212.224371066306</v>
      </c>
      <c r="G58" s="12">
        <f ca="1">IF(A57=$D$8,SUM($G$35:G57),IF(A57&gt;$D$8,"",E57*D58*$D$9/IF(OR(YEAR(C58)=2020,YEAR(C58)=2024),366,365)))</f>
        <v>19228.955542981785</v>
      </c>
      <c r="H58" s="12">
        <f ca="1">IF(A57=$D$8,SUM($H$35:H57),IF(A57="","",(G58+F58)))</f>
        <v>31441.179914048091</v>
      </c>
      <c r="I58" s="12" t="str">
        <f t="shared" si="17"/>
        <v/>
      </c>
      <c r="J58" s="12" t="str">
        <f t="shared" si="18"/>
        <v/>
      </c>
      <c r="K58" s="12" t="str">
        <f t="shared" si="19"/>
        <v/>
      </c>
      <c r="L58" s="12" t="str">
        <f t="shared" si="20"/>
        <v/>
      </c>
      <c r="M58" s="12" t="str">
        <f t="shared" si="16"/>
        <v/>
      </c>
      <c r="N58" s="12" t="str">
        <f t="shared" si="21"/>
        <v/>
      </c>
      <c r="O58" s="12" t="str">
        <f t="shared" si="22"/>
        <v/>
      </c>
      <c r="P58" s="12"/>
      <c r="Q58" s="51" t="str">
        <f>IF(A57=$D$8,XIRR(S$34:S57,C$34:C57),"")</f>
        <v/>
      </c>
      <c r="R58" s="115" t="str">
        <f t="shared" si="6"/>
        <v/>
      </c>
      <c r="S58" s="115">
        <f t="shared" ca="1" si="4"/>
        <v>31441.179914048091</v>
      </c>
    </row>
    <row r="59" spans="1:19" x14ac:dyDescent="0.35">
      <c r="A59" s="10">
        <f t="shared" si="5"/>
        <v>25</v>
      </c>
      <c r="B59" s="49">
        <f ca="1">EDATE($B$34,25)</f>
        <v>44986</v>
      </c>
      <c r="C59" s="11">
        <f t="shared" ref="C59:C118" ca="1" si="23">IF(B59&gt;$F$19,"",IF(B59=$F$19,B59-1,B59))</f>
        <v>44986</v>
      </c>
      <c r="D59" s="10">
        <f t="shared" ca="1" si="15"/>
        <v>28</v>
      </c>
      <c r="E59" s="12">
        <f t="shared" ca="1" si="14"/>
        <v>728370.1896318862</v>
      </c>
      <c r="F59" s="12">
        <f ca="1">IF(AND(A58="",A60=""),"",IF(A59="",SUM($F$35:F58),IF(A59=$D$8,$E$34-SUM($F$35:F58),$F$22-G59)))</f>
        <v>14354.045804978392</v>
      </c>
      <c r="G59" s="12">
        <f ca="1">IF(A58=$D$8,SUM($G$35:G58),IF(A58&gt;$D$8,"",E58*D59*$D$9/IF(OR(YEAR(C59)=2020,YEAR(C59)=2024),366,365)))</f>
        <v>17087.134109069699</v>
      </c>
      <c r="H59" s="12">
        <f ca="1">IF(A58=$D$8,SUM($H$35:H58),IF(A58="","",(G59+F59)))</f>
        <v>31441.179914048091</v>
      </c>
      <c r="I59" s="12" t="str">
        <f t="shared" si="17"/>
        <v/>
      </c>
      <c r="J59" s="12" t="str">
        <f t="shared" si="18"/>
        <v/>
      </c>
      <c r="K59" s="12" t="str">
        <f t="shared" si="19"/>
        <v/>
      </c>
      <c r="L59" s="12" t="str">
        <f t="shared" si="20"/>
        <v/>
      </c>
      <c r="M59" s="12" t="str">
        <f t="shared" si="16"/>
        <v/>
      </c>
      <c r="N59" s="12" t="str">
        <f t="shared" si="21"/>
        <v/>
      </c>
      <c r="O59" s="12">
        <f>IF($F$8&gt;24,($P$17),IF($A$58=$F$8,O47+O34,""))</f>
        <v>2181</v>
      </c>
      <c r="P59" s="12"/>
      <c r="Q59" s="51" t="str">
        <f>IF(A58=$D$8,XIRR(S$34:S58,C$34:C58),"")</f>
        <v/>
      </c>
      <c r="R59" s="115" t="str">
        <f t="shared" si="6"/>
        <v/>
      </c>
      <c r="S59" s="115">
        <f t="shared" ca="1" si="4"/>
        <v>33622.179914048087</v>
      </c>
    </row>
    <row r="60" spans="1:19" x14ac:dyDescent="0.35">
      <c r="A60" s="10">
        <f t="shared" si="5"/>
        <v>26</v>
      </c>
      <c r="B60" s="49">
        <f ca="1">EDATE($B$34,26)</f>
        <v>45017</v>
      </c>
      <c r="C60" s="11">
        <f t="shared" ca="1" si="23"/>
        <v>45017</v>
      </c>
      <c r="D60" s="10">
        <f t="shared" ca="1" si="15"/>
        <v>31</v>
      </c>
      <c r="E60" s="12">
        <f t="shared" ca="1" si="14"/>
        <v>715481.29688493034</v>
      </c>
      <c r="F60" s="12">
        <f ca="1">IF(AND(A59="",A61=""),"",IF(A60="",SUM($F$35:F59),IF(A60=$D$8,$E$34-SUM($F$35:F59),$F$22-G60)))</f>
        <v>12888.892746955811</v>
      </c>
      <c r="G60" s="12">
        <f ca="1">IF(A59=$D$8,SUM($G$35:G59),IF(A59&gt;$D$8,"",E59*D60*$D$9/IF(OR(YEAR(C60)=2020,YEAR(C60)=2024),366,365)))</f>
        <v>18552.28716709228</v>
      </c>
      <c r="H60" s="12">
        <f ca="1">IF(A59=$D$8,SUM($H$35:H59),IF(A59="","",(G60+F60)))</f>
        <v>31441.179914048091</v>
      </c>
      <c r="I60" s="12" t="str">
        <f t="shared" si="17"/>
        <v/>
      </c>
      <c r="J60" s="12" t="str">
        <f t="shared" si="18"/>
        <v/>
      </c>
      <c r="K60" s="12" t="str">
        <f t="shared" si="19"/>
        <v/>
      </c>
      <c r="L60" s="12" t="str">
        <f t="shared" si="20"/>
        <v/>
      </c>
      <c r="M60" s="12" t="str">
        <f t="shared" si="16"/>
        <v/>
      </c>
      <c r="N60" s="12" t="str">
        <f t="shared" si="21"/>
        <v/>
      </c>
      <c r="O60" s="12" t="str">
        <f t="shared" si="22"/>
        <v/>
      </c>
      <c r="P60" s="12"/>
      <c r="Q60" s="51" t="str">
        <f>IF(A59=$D$8,XIRR(S$34:S59,C$34:C59),"")</f>
        <v/>
      </c>
      <c r="R60" s="115" t="str">
        <f t="shared" si="6"/>
        <v/>
      </c>
      <c r="S60" s="115">
        <f t="shared" ca="1" si="4"/>
        <v>31441.179914048091</v>
      </c>
    </row>
    <row r="61" spans="1:19" x14ac:dyDescent="0.35">
      <c r="A61" s="10">
        <f t="shared" si="5"/>
        <v>27</v>
      </c>
      <c r="B61" s="49">
        <f ca="1">EDATE($B$34,27)</f>
        <v>45047</v>
      </c>
      <c r="C61" s="11">
        <f t="shared" ca="1" si="23"/>
        <v>45047</v>
      </c>
      <c r="D61" s="10">
        <f t="shared" ca="1" si="15"/>
        <v>30</v>
      </c>
      <c r="E61" s="12">
        <f t="shared" ca="1" si="14"/>
        <v>701676.240883413</v>
      </c>
      <c r="F61" s="12">
        <f ca="1">IF(AND(A60="",A62=""),"",IF(A61="",SUM($F$35:F60),IF(A61=$D$8,$E$34-SUM($F$35:F60),$F$22-G61)))</f>
        <v>13805.056001517354</v>
      </c>
      <c r="G61" s="12">
        <f ca="1">IF(A60=$D$8,SUM($G$35:G60),IF(A60&gt;$D$8,"",E60*D61*$D$9/IF(OR(YEAR(C61)=2020,YEAR(C61)=2024),366,365)))</f>
        <v>17636.123912530737</v>
      </c>
      <c r="H61" s="12">
        <f ca="1">IF(A60=$D$8,SUM($H$35:H60),IF(A60="","",(G61+F61)))</f>
        <v>31441.179914048091</v>
      </c>
      <c r="I61" s="12" t="str">
        <f t="shared" si="17"/>
        <v/>
      </c>
      <c r="J61" s="12" t="str">
        <f t="shared" si="18"/>
        <v/>
      </c>
      <c r="K61" s="12" t="str">
        <f t="shared" si="19"/>
        <v/>
      </c>
      <c r="L61" s="12" t="str">
        <f t="shared" si="20"/>
        <v/>
      </c>
      <c r="M61" s="12" t="str">
        <f t="shared" si="16"/>
        <v/>
      </c>
      <c r="N61" s="12" t="str">
        <f t="shared" si="21"/>
        <v/>
      </c>
      <c r="O61" s="12" t="str">
        <f t="shared" si="22"/>
        <v/>
      </c>
      <c r="P61" s="12"/>
      <c r="Q61" s="51" t="str">
        <f>IF(A60=$D$8,XIRR(S$34:S60,C$34:C60),"")</f>
        <v/>
      </c>
      <c r="R61" s="115" t="str">
        <f t="shared" si="6"/>
        <v/>
      </c>
      <c r="S61" s="115">
        <f t="shared" ca="1" si="4"/>
        <v>31441.179914048091</v>
      </c>
    </row>
    <row r="62" spans="1:19" x14ac:dyDescent="0.35">
      <c r="A62" s="10">
        <f t="shared" si="5"/>
        <v>28</v>
      </c>
      <c r="B62" s="49">
        <f ca="1">EDATE($B$34,28)</f>
        <v>45078</v>
      </c>
      <c r="C62" s="11">
        <f t="shared" ca="1" si="23"/>
        <v>45078</v>
      </c>
      <c r="D62" s="10">
        <f t="shared" ca="1" si="15"/>
        <v>31</v>
      </c>
      <c r="E62" s="12">
        <f t="shared" ca="1" si="14"/>
        <v>688107.42766489647</v>
      </c>
      <c r="F62" s="12">
        <f ca="1">IF(AND(A61="",A63=""),"",IF(A62="",SUM($F$35:F61),IF(A62=$D$8,$E$34-SUM($F$35:F61),$F$22-G62)))</f>
        <v>13568.813218516578</v>
      </c>
      <c r="G62" s="12">
        <f ca="1">IF(A61=$D$8,SUM($G$35:G61),IF(A61&gt;$D$8,"",E61*D62*$D$9/IF(OR(YEAR(C62)=2020,YEAR(C62)=2024),366,365)))</f>
        <v>17872.366695531513</v>
      </c>
      <c r="H62" s="12">
        <f ca="1">IF(A61=$D$8,SUM($H$35:H61),IF(A61="","",(G62+F62)))</f>
        <v>31441.179914048091</v>
      </c>
      <c r="I62" s="12" t="str">
        <f t="shared" si="17"/>
        <v/>
      </c>
      <c r="J62" s="12" t="str">
        <f t="shared" si="18"/>
        <v/>
      </c>
      <c r="K62" s="12" t="str">
        <f t="shared" si="19"/>
        <v/>
      </c>
      <c r="L62" s="12" t="str">
        <f t="shared" si="20"/>
        <v/>
      </c>
      <c r="M62" s="12" t="str">
        <f t="shared" si="16"/>
        <v/>
      </c>
      <c r="N62" s="12" t="str">
        <f t="shared" si="21"/>
        <v/>
      </c>
      <c r="O62" s="12" t="str">
        <f t="shared" si="22"/>
        <v/>
      </c>
      <c r="P62" s="12"/>
      <c r="Q62" s="51" t="str">
        <f>IF(A61=$D$8,XIRR(S$34:S61,C$34:C61),"")</f>
        <v/>
      </c>
      <c r="R62" s="115" t="str">
        <f t="shared" si="6"/>
        <v/>
      </c>
      <c r="S62" s="115">
        <f t="shared" ca="1" si="4"/>
        <v>31441.179914048091</v>
      </c>
    </row>
    <row r="63" spans="1:19" x14ac:dyDescent="0.35">
      <c r="A63" s="10">
        <f t="shared" si="5"/>
        <v>29</v>
      </c>
      <c r="B63" s="49">
        <f ca="1">EDATE($B$34,29)</f>
        <v>45108</v>
      </c>
      <c r="C63" s="11">
        <f t="shared" ca="1" si="23"/>
        <v>45108</v>
      </c>
      <c r="D63" s="10">
        <f t="shared" ca="1" si="15"/>
        <v>30</v>
      </c>
      <c r="E63" s="12">
        <f t="shared" ca="1" si="14"/>
        <v>673627.62453633081</v>
      </c>
      <c r="F63" s="12">
        <f ca="1">IF(AND(A62="",A64=""),"",IF(A63="",SUM($F$35:F62),IF(A63=$D$8,$E$34-SUM($F$35:F62),$F$22-G63)))</f>
        <v>14479.803128565698</v>
      </c>
      <c r="G63" s="12">
        <f ca="1">IF(A62=$D$8,SUM($G$35:G62),IF(A62&gt;$D$8,"",E62*D63*$D$9/IF(OR(YEAR(C63)=2020,YEAR(C63)=2024),366,365)))</f>
        <v>16961.376785482393</v>
      </c>
      <c r="H63" s="12">
        <f ca="1">IF(A62=$D$8,SUM($H$35:H62),IF(A62="","",(G63+F63)))</f>
        <v>31441.179914048091</v>
      </c>
      <c r="I63" s="12" t="str">
        <f t="shared" si="17"/>
        <v/>
      </c>
      <c r="J63" s="12" t="str">
        <f t="shared" si="18"/>
        <v/>
      </c>
      <c r="K63" s="12" t="str">
        <f t="shared" si="19"/>
        <v/>
      </c>
      <c r="L63" s="12" t="str">
        <f t="shared" si="20"/>
        <v/>
      </c>
      <c r="M63" s="12" t="str">
        <f t="shared" si="16"/>
        <v/>
      </c>
      <c r="N63" s="12" t="str">
        <f t="shared" si="21"/>
        <v/>
      </c>
      <c r="O63" s="12" t="str">
        <f t="shared" si="22"/>
        <v/>
      </c>
      <c r="P63" s="12"/>
      <c r="Q63" s="51" t="str">
        <f>IF(A62=$D$8,XIRR(S$34:S62,C$34:C62),"")</f>
        <v/>
      </c>
      <c r="R63" s="115" t="str">
        <f t="shared" si="6"/>
        <v/>
      </c>
      <c r="S63" s="115">
        <f t="shared" ca="1" si="4"/>
        <v>31441.179914048091</v>
      </c>
    </row>
    <row r="64" spans="1:19" x14ac:dyDescent="0.35">
      <c r="A64" s="10">
        <f t="shared" si="5"/>
        <v>30</v>
      </c>
      <c r="B64" s="49">
        <f ca="1">EDATE($B$34,30)</f>
        <v>45139</v>
      </c>
      <c r="C64" s="11">
        <f t="shared" ca="1" si="23"/>
        <v>45139</v>
      </c>
      <c r="D64" s="10">
        <f t="shared" ca="1" si="15"/>
        <v>31</v>
      </c>
      <c r="E64" s="12">
        <f t="shared" ca="1" si="14"/>
        <v>659344.38616352063</v>
      </c>
      <c r="F64" s="12">
        <f ca="1">IF(AND(A63="",A65=""),"",IF(A64="",SUM($F$35:F63),IF(A64=$D$8,$E$34-SUM($F$35:F63),$F$22-G64)))</f>
        <v>14283.238372810243</v>
      </c>
      <c r="G64" s="12">
        <f ca="1">IF(A63=$D$8,SUM($G$35:G63),IF(A63&gt;$D$8,"",E63*D64*$D$9/IF(OR(YEAR(C64)=2020,YEAR(C64)=2024),366,365)))</f>
        <v>17157.941541237848</v>
      </c>
      <c r="H64" s="12">
        <f ca="1">IF(A63=$D$8,SUM($H$35:H63),IF(A63="","",(G64+F64)))</f>
        <v>31441.179914048091</v>
      </c>
      <c r="I64" s="12" t="str">
        <f t="shared" si="17"/>
        <v/>
      </c>
      <c r="J64" s="12" t="str">
        <f t="shared" si="18"/>
        <v/>
      </c>
      <c r="K64" s="12" t="str">
        <f t="shared" si="19"/>
        <v/>
      </c>
      <c r="L64" s="12" t="str">
        <f t="shared" si="20"/>
        <v/>
      </c>
      <c r="M64" s="12" t="str">
        <f t="shared" si="16"/>
        <v/>
      </c>
      <c r="N64" s="12" t="str">
        <f t="shared" si="21"/>
        <v/>
      </c>
      <c r="O64" s="12" t="str">
        <f t="shared" si="22"/>
        <v/>
      </c>
      <c r="P64" s="12"/>
      <c r="Q64" s="51" t="str">
        <f>IF(A63=$D$8,XIRR(S$34:S63,C$34:C63),"")</f>
        <v/>
      </c>
      <c r="R64" s="115" t="str">
        <f t="shared" si="6"/>
        <v/>
      </c>
      <c r="S64" s="115">
        <f t="shared" ca="1" si="4"/>
        <v>31441.179914048091</v>
      </c>
    </row>
    <row r="65" spans="1:19" x14ac:dyDescent="0.35">
      <c r="A65" s="10">
        <f t="shared" si="5"/>
        <v>31</v>
      </c>
      <c r="B65" s="49">
        <f ca="1">EDATE($B$34,31)</f>
        <v>45170</v>
      </c>
      <c r="C65" s="11">
        <f t="shared" ca="1" si="23"/>
        <v>45170</v>
      </c>
      <c r="D65" s="10">
        <f t="shared" ca="1" si="15"/>
        <v>31</v>
      </c>
      <c r="E65" s="12">
        <f t="shared" ca="1" si="14"/>
        <v>644697.3400130989</v>
      </c>
      <c r="F65" s="12">
        <f ca="1">IF(AND(A64="",A66=""),"",IF(A65="",SUM($F$35:F64),IF(A65=$D$8,$E$34-SUM($F$35:F64),$F$22-G65)))</f>
        <v>14647.046150421695</v>
      </c>
      <c r="G65" s="12">
        <f ca="1">IF(A64=$D$8,SUM($G$35:G64),IF(A64&gt;$D$8,"",E64*D65*$D$9/IF(OR(YEAR(C65)=2020,YEAR(C65)=2024),366,365)))</f>
        <v>16794.133763626396</v>
      </c>
      <c r="H65" s="12">
        <f ca="1">IF(A64=$D$8,SUM($H$35:H64),IF(A64="","",(G65+F65)))</f>
        <v>31441.179914048091</v>
      </c>
      <c r="I65" s="12" t="str">
        <f t="shared" si="17"/>
        <v/>
      </c>
      <c r="J65" s="12" t="str">
        <f t="shared" si="18"/>
        <v/>
      </c>
      <c r="K65" s="12" t="str">
        <f t="shared" si="19"/>
        <v/>
      </c>
      <c r="L65" s="12" t="str">
        <f t="shared" si="20"/>
        <v/>
      </c>
      <c r="M65" s="12" t="str">
        <f t="shared" si="16"/>
        <v/>
      </c>
      <c r="N65" s="12" t="str">
        <f t="shared" si="21"/>
        <v/>
      </c>
      <c r="O65" s="12" t="str">
        <f t="shared" si="22"/>
        <v/>
      </c>
      <c r="P65" s="12"/>
      <c r="Q65" s="51" t="str">
        <f>IF(A64=$D$8,XIRR(S$34:S64,C$34:C64),"")</f>
        <v/>
      </c>
      <c r="R65" s="115" t="str">
        <f t="shared" si="6"/>
        <v/>
      </c>
      <c r="S65" s="115">
        <f t="shared" ca="1" si="4"/>
        <v>31441.179914048091</v>
      </c>
    </row>
    <row r="66" spans="1:19" x14ac:dyDescent="0.35">
      <c r="A66" s="10">
        <f t="shared" si="5"/>
        <v>32</v>
      </c>
      <c r="B66" s="49">
        <f ca="1">EDATE($B$34,32)</f>
        <v>45200</v>
      </c>
      <c r="C66" s="11">
        <f t="shared" ca="1" si="23"/>
        <v>45200</v>
      </c>
      <c r="D66" s="10">
        <f t="shared" ca="1" si="15"/>
        <v>30</v>
      </c>
      <c r="E66" s="12">
        <f t="shared" ca="1" si="14"/>
        <v>629147.50795685314</v>
      </c>
      <c r="F66" s="12">
        <f ca="1">IF(AND(A65="",A67=""),"",IF(A66="",SUM($F$35:F65),IF(A66=$D$8,$E$34-SUM($F$35:F65),$F$22-G66)))</f>
        <v>15549.832056245757</v>
      </c>
      <c r="G66" s="12">
        <f ca="1">IF(A65=$D$8,SUM($G$35:G65),IF(A65&gt;$D$8,"",E65*D66*$D$9/IF(OR(YEAR(C66)=2020,YEAR(C66)=2024),366,365)))</f>
        <v>15891.347857802333</v>
      </c>
      <c r="H66" s="12">
        <f ca="1">IF(A65=$D$8,SUM($H$35:H65),IF(A65="","",(G66+F66)))</f>
        <v>31441.179914048091</v>
      </c>
      <c r="I66" s="12" t="str">
        <f t="shared" si="17"/>
        <v/>
      </c>
      <c r="J66" s="12" t="str">
        <f t="shared" si="18"/>
        <v/>
      </c>
      <c r="K66" s="12" t="str">
        <f t="shared" si="19"/>
        <v/>
      </c>
      <c r="L66" s="12" t="str">
        <f t="shared" si="20"/>
        <v/>
      </c>
      <c r="M66" s="12" t="str">
        <f t="shared" si="16"/>
        <v/>
      </c>
      <c r="N66" s="12" t="str">
        <f t="shared" si="21"/>
        <v/>
      </c>
      <c r="O66" s="12" t="str">
        <f t="shared" si="22"/>
        <v/>
      </c>
      <c r="P66" s="12"/>
      <c r="Q66" s="51" t="str">
        <f>IF(A65=$D$8,XIRR(S$34:S65,C$34:C65),"")</f>
        <v/>
      </c>
      <c r="R66" s="115" t="str">
        <f t="shared" si="6"/>
        <v/>
      </c>
      <c r="S66" s="115">
        <f t="shared" ca="1" si="4"/>
        <v>31441.179914048091</v>
      </c>
    </row>
    <row r="67" spans="1:19" x14ac:dyDescent="0.35">
      <c r="A67" s="10">
        <f t="shared" si="5"/>
        <v>33</v>
      </c>
      <c r="B67" s="49">
        <f ca="1">EDATE($B$34,33)</f>
        <v>45231</v>
      </c>
      <c r="C67" s="11">
        <f t="shared" ca="1" si="23"/>
        <v>45231</v>
      </c>
      <c r="D67" s="10">
        <f t="shared" ca="1" si="15"/>
        <v>31</v>
      </c>
      <c r="E67" s="12">
        <f t="shared" ca="1" si="14"/>
        <v>613731.31836259703</v>
      </c>
      <c r="F67" s="12">
        <f ca="1">IF(AND(A66="",A68=""),"",IF(A67="",SUM($F$35:F66),IF(A67=$D$8,$E$34-SUM($F$35:F66),$F$22-G67)))</f>
        <v>15416.189594256126</v>
      </c>
      <c r="G67" s="12">
        <f ca="1">IF(A66=$D$8,SUM($G$35:G66),IF(A66&gt;$D$8,"",E66*D67*$D$9/IF(OR(YEAR(C67)=2020,YEAR(C67)=2024),366,365)))</f>
        <v>16024.990319791965</v>
      </c>
      <c r="H67" s="12">
        <f ca="1">IF(A66=$D$8,SUM($H$35:H66),IF(A66="","",(G67+F67)))</f>
        <v>31441.179914048091</v>
      </c>
      <c r="I67" s="12" t="str">
        <f t="shared" si="17"/>
        <v/>
      </c>
      <c r="J67" s="12" t="str">
        <f t="shared" si="18"/>
        <v/>
      </c>
      <c r="K67" s="12" t="str">
        <f t="shared" si="19"/>
        <v/>
      </c>
      <c r="L67" s="12" t="str">
        <f t="shared" si="20"/>
        <v/>
      </c>
      <c r="M67" s="12" t="str">
        <f t="shared" si="16"/>
        <v/>
      </c>
      <c r="N67" s="12" t="str">
        <f t="shared" si="21"/>
        <v/>
      </c>
      <c r="O67" s="12" t="str">
        <f t="shared" si="22"/>
        <v/>
      </c>
      <c r="P67" s="12"/>
      <c r="Q67" s="51" t="str">
        <f>IF(A66=$D$8,XIRR(S$34:S66,C$34:C66),"")</f>
        <v/>
      </c>
      <c r="R67" s="115" t="str">
        <f t="shared" si="6"/>
        <v/>
      </c>
      <c r="S67" s="115">
        <f t="shared" ca="1" si="4"/>
        <v>31441.179914048091</v>
      </c>
    </row>
    <row r="68" spans="1:19" x14ac:dyDescent="0.35">
      <c r="A68" s="10">
        <f t="shared" si="5"/>
        <v>34</v>
      </c>
      <c r="B68" s="49">
        <f ca="1">EDATE($B$34,34)</f>
        <v>45261</v>
      </c>
      <c r="C68" s="11">
        <f t="shared" ca="1" si="23"/>
        <v>45261</v>
      </c>
      <c r="D68" s="10">
        <f t="shared" ca="1" si="15"/>
        <v>30</v>
      </c>
      <c r="E68" s="12">
        <f t="shared" ca="1" si="14"/>
        <v>597418.19508227031</v>
      </c>
      <c r="F68" s="12">
        <f ca="1">IF(AND(A67="",A69=""),"",IF(A68="",SUM($F$35:F67),IF(A68=$D$8,$E$34-SUM($F$35:F67),$F$22-G68)))</f>
        <v>16313.123280326761</v>
      </c>
      <c r="G68" s="12">
        <f ca="1">IF(A67=$D$8,SUM($G$35:G67),IF(A67&gt;$D$8,"",E67*D68*$D$9/IF(OR(YEAR(C68)=2020,YEAR(C68)=2024),366,365)))</f>
        <v>15128.056633721329</v>
      </c>
      <c r="H68" s="12">
        <f ca="1">IF(A67=$D$8,SUM($H$35:H67),IF(A67="","",(G68+F68)))</f>
        <v>31441.179914048091</v>
      </c>
      <c r="I68" s="12" t="str">
        <f t="shared" si="17"/>
        <v/>
      </c>
      <c r="J68" s="12" t="str">
        <f t="shared" si="18"/>
        <v/>
      </c>
      <c r="K68" s="12" t="str">
        <f t="shared" si="19"/>
        <v/>
      </c>
      <c r="L68" s="12" t="str">
        <f t="shared" si="20"/>
        <v/>
      </c>
      <c r="M68" s="12" t="str">
        <f t="shared" si="16"/>
        <v/>
      </c>
      <c r="N68" s="12" t="str">
        <f t="shared" si="21"/>
        <v/>
      </c>
      <c r="O68" s="12" t="str">
        <f t="shared" si="22"/>
        <v/>
      </c>
      <c r="P68" s="12"/>
      <c r="Q68" s="51" t="str">
        <f>IF(A67=$D$8,XIRR(S$34:S67,C$34:C67),"")</f>
        <v/>
      </c>
      <c r="R68" s="115" t="str">
        <f t="shared" si="6"/>
        <v/>
      </c>
      <c r="S68" s="115">
        <f t="shared" ca="1" si="4"/>
        <v>31441.179914048091</v>
      </c>
    </row>
    <row r="69" spans="1:19" x14ac:dyDescent="0.35">
      <c r="A69" s="10">
        <f t="shared" si="5"/>
        <v>35</v>
      </c>
      <c r="B69" s="49">
        <f ca="1">EDATE($B$34,35)</f>
        <v>45292</v>
      </c>
      <c r="C69" s="11">
        <f t="shared" ca="1" si="23"/>
        <v>45292</v>
      </c>
      <c r="D69" s="10">
        <f t="shared" ca="1" si="15"/>
        <v>31</v>
      </c>
      <c r="E69" s="12">
        <f t="shared" ca="1" si="14"/>
        <v>581152.25346838718</v>
      </c>
      <c r="F69" s="12">
        <f ca="1">IF(AND(A68="",A70=""),"",IF(A69="",SUM($F$35:F68),IF(A69=$D$8,$E$34-SUM($F$35:F68),$F$22-G69)))</f>
        <v>16265.941613883177</v>
      </c>
      <c r="G69" s="12">
        <f ca="1">IF(A68=$D$8,SUM($G$35:G68),IF(A68&gt;$D$8,"",E68*D69*$D$9/IF(OR(YEAR(C69)=2020,YEAR(C69)=2024),366,365)))</f>
        <v>15175.238300164914</v>
      </c>
      <c r="H69" s="12">
        <f ca="1">IF(A68=$D$8,SUM($H$35:H68),IF(A68="","",(G69+F69)))</f>
        <v>31441.179914048091</v>
      </c>
      <c r="I69" s="12" t="str">
        <f t="shared" si="17"/>
        <v/>
      </c>
      <c r="J69" s="12" t="str">
        <f t="shared" si="18"/>
        <v/>
      </c>
      <c r="K69" s="12" t="str">
        <f t="shared" si="19"/>
        <v/>
      </c>
      <c r="L69" s="12" t="str">
        <f t="shared" si="20"/>
        <v/>
      </c>
      <c r="M69" s="12" t="str">
        <f t="shared" si="16"/>
        <v/>
      </c>
      <c r="N69" s="12" t="str">
        <f t="shared" si="21"/>
        <v/>
      </c>
      <c r="O69" s="12" t="str">
        <f t="shared" si="22"/>
        <v/>
      </c>
      <c r="P69" s="12"/>
      <c r="Q69" s="51" t="str">
        <f>IF(A68=$D$8,XIRR(S$34:S68,C$34:C68),"")</f>
        <v/>
      </c>
      <c r="R69" s="115" t="str">
        <f t="shared" si="6"/>
        <v/>
      </c>
      <c r="S69" s="115">
        <f t="shared" ca="1" si="4"/>
        <v>31441.179914048091</v>
      </c>
    </row>
    <row r="70" spans="1:19" x14ac:dyDescent="0.35">
      <c r="A70" s="10">
        <f t="shared" si="5"/>
        <v>36</v>
      </c>
      <c r="B70" s="49">
        <f ca="1">EDATE($B$34,36)</f>
        <v>45323</v>
      </c>
      <c r="C70" s="11">
        <f t="shared" ca="1" si="23"/>
        <v>45323</v>
      </c>
      <c r="D70" s="10">
        <f t="shared" ca="1" si="15"/>
        <v>31</v>
      </c>
      <c r="E70" s="12">
        <f t="shared" ca="1" si="14"/>
        <v>564473.13471627969</v>
      </c>
      <c r="F70" s="12">
        <f ca="1">IF(AND(A69="",A71=""),"",IF(A70="",SUM($F$35:F69),IF(A70=$D$8,$E$34-SUM($F$35:F69),$F$22-G70)))</f>
        <v>16679.118752107519</v>
      </c>
      <c r="G70" s="12">
        <f ca="1">IF(A69=$D$8,SUM($G$35:G69),IF(A69&gt;$D$8,"",E69*D70*$D$9/IF(OR(YEAR(C70)=2020,YEAR(C70)=2024),366,365)))</f>
        <v>14762.061161940572</v>
      </c>
      <c r="H70" s="12">
        <f ca="1">IF(A69=$D$8,SUM($H$35:H69),IF(A69="","",(G70+F70)))</f>
        <v>31441.179914048091</v>
      </c>
      <c r="I70" s="12" t="str">
        <f t="shared" si="17"/>
        <v/>
      </c>
      <c r="J70" s="12" t="str">
        <f t="shared" si="18"/>
        <v/>
      </c>
      <c r="K70" s="12" t="str">
        <f t="shared" si="19"/>
        <v/>
      </c>
      <c r="L70" s="12" t="str">
        <f t="shared" si="20"/>
        <v/>
      </c>
      <c r="M70" s="12" t="str">
        <f t="shared" si="16"/>
        <v/>
      </c>
      <c r="N70" s="12" t="str">
        <f t="shared" si="21"/>
        <v/>
      </c>
      <c r="O70" s="12" t="str">
        <f t="shared" si="22"/>
        <v/>
      </c>
      <c r="P70" s="12"/>
      <c r="Q70" s="51" t="str">
        <f>IF(A69=$D$8,XIRR(S$34:S69,C$34:C69),"")</f>
        <v/>
      </c>
      <c r="R70" s="115" t="str">
        <f t="shared" si="6"/>
        <v/>
      </c>
      <c r="S70" s="115">
        <f t="shared" ca="1" si="4"/>
        <v>31441.179914048091</v>
      </c>
    </row>
    <row r="71" spans="1:19" x14ac:dyDescent="0.35">
      <c r="A71" s="10">
        <f t="shared" si="5"/>
        <v>37</v>
      </c>
      <c r="B71" s="49">
        <f ca="1">EDATE($B$34,37)</f>
        <v>45352</v>
      </c>
      <c r="C71" s="11">
        <f t="shared" ca="1" si="23"/>
        <v>45352</v>
      </c>
      <c r="D71" s="10">
        <f t="shared" ca="1" si="15"/>
        <v>29</v>
      </c>
      <c r="E71" s="12">
        <f t="shared" ca="1" si="14"/>
        <v>546445.2862228353</v>
      </c>
      <c r="F71" s="12">
        <f ca="1">IF(AND(A70="",A72=""),"",IF(A71="",SUM($F$35:F70),IF(A71=$D$8,$E$34-SUM($F$35:F70),$F$22-G71)))</f>
        <v>18027.848493444384</v>
      </c>
      <c r="G71" s="12">
        <f ca="1">IF(A70=$D$8,SUM($G$35:G70),IF(A70&gt;$D$8,"",E70*D71*$D$9/IF(OR(YEAR(C71)=2020,YEAR(C71)=2024),366,365)))</f>
        <v>13413.331420603705</v>
      </c>
      <c r="H71" s="12">
        <f ca="1">IF(A70=$D$8,SUM($H$35:H70),IF(A70="","",(G71+F71)))</f>
        <v>31441.179914048087</v>
      </c>
      <c r="I71" s="12" t="str">
        <f t="shared" si="17"/>
        <v/>
      </c>
      <c r="J71" s="12" t="str">
        <f t="shared" si="18"/>
        <v/>
      </c>
      <c r="K71" s="12" t="str">
        <f t="shared" si="19"/>
        <v/>
      </c>
      <c r="L71" s="12" t="str">
        <f t="shared" si="20"/>
        <v/>
      </c>
      <c r="M71" s="12" t="str">
        <f t="shared" si="16"/>
        <v/>
      </c>
      <c r="N71" s="12" t="str">
        <f t="shared" si="21"/>
        <v/>
      </c>
      <c r="O71" s="12">
        <f>IF($F$8&gt;36,($P$17),IF($A$70=$F$8,O59+O47+O34,""))</f>
        <v>2181</v>
      </c>
      <c r="P71" s="12"/>
      <c r="Q71" s="51" t="str">
        <f>IF(A70=$D$8,XIRR(S$34:S70,C$34:C70),"")</f>
        <v/>
      </c>
      <c r="R71" s="115" t="str">
        <f t="shared" si="6"/>
        <v/>
      </c>
      <c r="S71" s="115">
        <f t="shared" ca="1" si="4"/>
        <v>33622.179914048087</v>
      </c>
    </row>
    <row r="72" spans="1:19" x14ac:dyDescent="0.35">
      <c r="A72" s="10">
        <f t="shared" si="5"/>
        <v>38</v>
      </c>
      <c r="B72" s="49">
        <f ca="1">EDATE($B$34,38)</f>
        <v>45383</v>
      </c>
      <c r="C72" s="11">
        <f t="shared" ca="1" si="23"/>
        <v>45383</v>
      </c>
      <c r="D72" s="10">
        <f t="shared" ca="1" si="15"/>
        <v>31</v>
      </c>
      <c r="E72" s="12">
        <f t="shared" ca="1" si="14"/>
        <v>528884.56308880111</v>
      </c>
      <c r="F72" s="12">
        <f ca="1">IF(AND(A71="",A73=""),"",IF(A72="",SUM($F$35:F71),IF(A72=$D$8,$E$34-SUM($F$35:F71),$F$22-G72)))</f>
        <v>17560.723134034215</v>
      </c>
      <c r="G72" s="12">
        <f ca="1">IF(A71=$D$8,SUM($G$35:G71),IF(A71&gt;$D$8,"",E71*D72*$D$9/IF(OR(YEAR(C72)=2020,YEAR(C72)=2024),366,365)))</f>
        <v>13880.456780013876</v>
      </c>
      <c r="H72" s="12">
        <f ca="1">IF(A71=$D$8,SUM($H$35:H71),IF(A71="","",(G72+F72)))</f>
        <v>31441.179914048091</v>
      </c>
      <c r="I72" s="12" t="str">
        <f t="shared" si="17"/>
        <v/>
      </c>
      <c r="J72" s="12" t="str">
        <f t="shared" si="18"/>
        <v/>
      </c>
      <c r="K72" s="12" t="str">
        <f t="shared" si="19"/>
        <v/>
      </c>
      <c r="L72" s="12" t="str">
        <f t="shared" si="20"/>
        <v/>
      </c>
      <c r="M72" s="12" t="str">
        <f t="shared" si="16"/>
        <v/>
      </c>
      <c r="N72" s="12" t="str">
        <f t="shared" si="21"/>
        <v/>
      </c>
      <c r="O72" s="12" t="str">
        <f t="shared" si="22"/>
        <v/>
      </c>
      <c r="P72" s="12"/>
      <c r="Q72" s="51" t="str">
        <f>IF(A71=$D$8,XIRR(S$34:S71,C$34:C71),"")</f>
        <v/>
      </c>
      <c r="R72" s="115" t="str">
        <f t="shared" si="6"/>
        <v/>
      </c>
      <c r="S72" s="115">
        <f t="shared" ca="1" si="4"/>
        <v>31441.179914048091</v>
      </c>
    </row>
    <row r="73" spans="1:19" x14ac:dyDescent="0.35">
      <c r="A73" s="10">
        <f t="shared" si="5"/>
        <v>39</v>
      </c>
      <c r="B73" s="49">
        <f ca="1">EDATE($B$34,39)</f>
        <v>45413</v>
      </c>
      <c r="C73" s="11">
        <f t="shared" ca="1" si="23"/>
        <v>45413</v>
      </c>
      <c r="D73" s="10">
        <f t="shared" ca="1" si="15"/>
        <v>30</v>
      </c>
      <c r="E73" s="12">
        <f t="shared" ca="1" si="14"/>
        <v>510444.40616412443</v>
      </c>
      <c r="F73" s="12">
        <f ca="1">IF(AND(A72="",A74=""),"",IF(A73="",SUM($F$35:F72),IF(A73=$D$8,$E$34-SUM($F$35:F72),$F$22-G73)))</f>
        <v>18440.156924676659</v>
      </c>
      <c r="G73" s="12">
        <f ca="1">IF(A72=$D$8,SUM($G$35:G72),IF(A72&gt;$D$8,"",E72*D73*$D$9/IF(OR(YEAR(C73)=2020,YEAR(C73)=2024),366,365)))</f>
        <v>13001.02298937143</v>
      </c>
      <c r="H73" s="12">
        <f ca="1">IF(A72=$D$8,SUM($H$35:H72),IF(A72="","",(G73+F73)))</f>
        <v>31441.179914048087</v>
      </c>
      <c r="I73" s="12" t="str">
        <f t="shared" si="17"/>
        <v/>
      </c>
      <c r="J73" s="12" t="str">
        <f t="shared" si="18"/>
        <v/>
      </c>
      <c r="K73" s="12" t="str">
        <f t="shared" si="19"/>
        <v/>
      </c>
      <c r="L73" s="12" t="str">
        <f t="shared" si="20"/>
        <v/>
      </c>
      <c r="M73" s="12" t="str">
        <f t="shared" si="16"/>
        <v/>
      </c>
      <c r="N73" s="12" t="str">
        <f t="shared" si="21"/>
        <v/>
      </c>
      <c r="O73" s="12" t="str">
        <f t="shared" si="22"/>
        <v/>
      </c>
      <c r="P73" s="12"/>
      <c r="Q73" s="51" t="str">
        <f>IF(A72=$D$8,XIRR(S$34:S72,C$34:C72),"")</f>
        <v/>
      </c>
      <c r="R73" s="115" t="str">
        <f t="shared" si="6"/>
        <v/>
      </c>
      <c r="S73" s="115">
        <f t="shared" ca="1" si="4"/>
        <v>31441.179914048087</v>
      </c>
    </row>
    <row r="74" spans="1:19" x14ac:dyDescent="0.35">
      <c r="A74" s="10">
        <f t="shared" si="5"/>
        <v>40</v>
      </c>
      <c r="B74" s="49">
        <f ca="1">EDATE($B$34,40)</f>
        <v>45444</v>
      </c>
      <c r="C74" s="11">
        <f t="shared" ca="1" si="23"/>
        <v>45444</v>
      </c>
      <c r="D74" s="10">
        <f t="shared" ca="1" si="15"/>
        <v>31</v>
      </c>
      <c r="E74" s="12">
        <f t="shared" ca="1" si="14"/>
        <v>491969.21149506886</v>
      </c>
      <c r="F74" s="12">
        <f ca="1">IF(AND(A73="",A75=""),"",IF(A74="",SUM($F$35:F73),IF(A74=$D$8,$E$34-SUM($F$35:F73),$F$22-G74)))</f>
        <v>18475.194669055607</v>
      </c>
      <c r="G74" s="12">
        <f ca="1">IF(A73=$D$8,SUM($G$35:G73),IF(A73&gt;$D$8,"",E73*D74*$D$9/IF(OR(YEAR(C74)=2020,YEAR(C74)=2024),366,365)))</f>
        <v>12965.985244992482</v>
      </c>
      <c r="H74" s="12">
        <f ca="1">IF(A73=$D$8,SUM($H$35:H73),IF(A73="","",(G74+F74)))</f>
        <v>31441.179914048087</v>
      </c>
      <c r="I74" s="12" t="str">
        <f t="shared" si="17"/>
        <v/>
      </c>
      <c r="J74" s="12" t="str">
        <f t="shared" si="18"/>
        <v/>
      </c>
      <c r="K74" s="12" t="str">
        <f t="shared" si="19"/>
        <v/>
      </c>
      <c r="L74" s="12" t="str">
        <f t="shared" si="20"/>
        <v/>
      </c>
      <c r="M74" s="12" t="str">
        <f t="shared" si="16"/>
        <v/>
      </c>
      <c r="N74" s="12" t="str">
        <f t="shared" si="21"/>
        <v/>
      </c>
      <c r="O74" s="12" t="str">
        <f t="shared" si="22"/>
        <v/>
      </c>
      <c r="P74" s="12"/>
      <c r="Q74" s="51" t="str">
        <f>IF(A73=$D$8,XIRR(S$34:S73,C$34:C73),"")</f>
        <v/>
      </c>
      <c r="R74" s="115" t="str">
        <f t="shared" si="6"/>
        <v/>
      </c>
      <c r="S74" s="115">
        <f t="shared" ca="1" si="4"/>
        <v>31441.179914048087</v>
      </c>
    </row>
    <row r="75" spans="1:19" x14ac:dyDescent="0.35">
      <c r="A75" s="10">
        <f t="shared" si="5"/>
        <v>41</v>
      </c>
      <c r="B75" s="49">
        <f ca="1">EDATE($B$34,41)</f>
        <v>45474</v>
      </c>
      <c r="C75" s="11">
        <f t="shared" ca="1" si="23"/>
        <v>45474</v>
      </c>
      <c r="D75" s="10">
        <f t="shared" ca="1" si="15"/>
        <v>30</v>
      </c>
      <c r="E75" s="12">
        <f t="shared" ca="1" si="14"/>
        <v>472621.60260785447</v>
      </c>
      <c r="F75" s="12">
        <f ca="1">IF(AND(A74="",A76=""),"",IF(A75="",SUM($F$35:F74),IF(A75=$D$8,$E$34-SUM($F$35:F74),$F$22-G75)))</f>
        <v>19347.608887214388</v>
      </c>
      <c r="G75" s="12">
        <f ca="1">IF(A74=$D$8,SUM($G$35:G74),IF(A74&gt;$D$8,"",E74*D75*$D$9/IF(OR(YEAR(C75)=2020,YEAR(C75)=2024),366,365)))</f>
        <v>12093.571026833701</v>
      </c>
      <c r="H75" s="12">
        <f ca="1">IF(A74=$D$8,SUM($H$35:H74),IF(A74="","",(G75+F75)))</f>
        <v>31441.179914048087</v>
      </c>
      <c r="I75" s="12" t="str">
        <f t="shared" si="17"/>
        <v/>
      </c>
      <c r="J75" s="12" t="str">
        <f t="shared" si="18"/>
        <v/>
      </c>
      <c r="K75" s="12" t="str">
        <f t="shared" si="19"/>
        <v/>
      </c>
      <c r="L75" s="12" t="str">
        <f t="shared" si="20"/>
        <v/>
      </c>
      <c r="M75" s="12" t="str">
        <f t="shared" si="16"/>
        <v/>
      </c>
      <c r="N75" s="12" t="str">
        <f t="shared" si="21"/>
        <v/>
      </c>
      <c r="O75" s="12" t="str">
        <f t="shared" si="22"/>
        <v/>
      </c>
      <c r="P75" s="12"/>
      <c r="Q75" s="51" t="str">
        <f>IF(A74=$D$8,XIRR(S$34:S74,C$34:C74),"")</f>
        <v/>
      </c>
      <c r="R75" s="115" t="str">
        <f t="shared" si="6"/>
        <v/>
      </c>
      <c r="S75" s="115">
        <f t="shared" ca="1" si="4"/>
        <v>31441.179914048087</v>
      </c>
    </row>
    <row r="76" spans="1:19" x14ac:dyDescent="0.35">
      <c r="A76" s="10">
        <f t="shared" si="5"/>
        <v>42</v>
      </c>
      <c r="B76" s="49">
        <f ca="1">EDATE($B$34,42)</f>
        <v>45505</v>
      </c>
      <c r="C76" s="11">
        <f t="shared" ca="1" si="23"/>
        <v>45505</v>
      </c>
      <c r="D76" s="10">
        <f t="shared" ca="1" si="15"/>
        <v>31</v>
      </c>
      <c r="E76" s="12">
        <f t="shared" ca="1" si="14"/>
        <v>453185.65705797292</v>
      </c>
      <c r="F76" s="12">
        <f ca="1">IF(AND(A75="",A77=""),"",IF(A76="",SUM($F$35:F75),IF(A76=$D$8,$E$34-SUM($F$35:F75),$F$22-G76)))</f>
        <v>19435.94554988153</v>
      </c>
      <c r="G76" s="12">
        <f ca="1">IF(A75=$D$8,SUM($G$35:G75),IF(A75&gt;$D$8,"",E75*D76*$D$9/IF(OR(YEAR(C76)=2020,YEAR(C76)=2024),366,365)))</f>
        <v>12005.234364166563</v>
      </c>
      <c r="H76" s="12">
        <f ca="1">IF(A75=$D$8,SUM($H$35:H75),IF(A75="","",(G76+F76)))</f>
        <v>31441.179914048094</v>
      </c>
      <c r="I76" s="12" t="str">
        <f t="shared" si="17"/>
        <v/>
      </c>
      <c r="J76" s="12" t="str">
        <f t="shared" si="18"/>
        <v/>
      </c>
      <c r="K76" s="12" t="str">
        <f t="shared" si="19"/>
        <v/>
      </c>
      <c r="L76" s="12" t="str">
        <f t="shared" si="20"/>
        <v/>
      </c>
      <c r="M76" s="12" t="str">
        <f t="shared" si="16"/>
        <v/>
      </c>
      <c r="N76" s="12" t="str">
        <f t="shared" si="21"/>
        <v/>
      </c>
      <c r="O76" s="12" t="str">
        <f t="shared" si="22"/>
        <v/>
      </c>
      <c r="P76" s="12"/>
      <c r="Q76" s="51" t="str">
        <f>IF(A75=$D$8,XIRR(S$34:S75,C$34:C75),"")</f>
        <v/>
      </c>
      <c r="R76" s="115" t="str">
        <f t="shared" si="6"/>
        <v/>
      </c>
      <c r="S76" s="115">
        <f t="shared" ca="1" si="4"/>
        <v>31441.179914048094</v>
      </c>
    </row>
    <row r="77" spans="1:19" x14ac:dyDescent="0.35">
      <c r="A77" s="10">
        <f t="shared" si="5"/>
        <v>43</v>
      </c>
      <c r="B77" s="49">
        <f ca="1">EDATE($B$34,43)</f>
        <v>45536</v>
      </c>
      <c r="C77" s="11">
        <f t="shared" ca="1" si="23"/>
        <v>45536</v>
      </c>
      <c r="D77" s="10">
        <f t="shared" ca="1" si="15"/>
        <v>31</v>
      </c>
      <c r="E77" s="12">
        <f t="shared" ca="1" si="14"/>
        <v>433256.0119392862</v>
      </c>
      <c r="F77" s="12">
        <f ca="1">IF(AND(A76="",A78=""),"",IF(A77="",SUM($F$35:F76),IF(A77=$D$8,$E$34-SUM($F$35:F76),$F$22-G77)))</f>
        <v>19929.645118686698</v>
      </c>
      <c r="G77" s="12">
        <f ca="1">IF(A76=$D$8,SUM($G$35:G76),IF(A76&gt;$D$8,"",E76*D77*$D$9/IF(OR(YEAR(C77)=2020,YEAR(C77)=2024),366,365)))</f>
        <v>11511.534795361391</v>
      </c>
      <c r="H77" s="12">
        <f ca="1">IF(A76=$D$8,SUM($H$35:H76),IF(A76="","",(G77+F77)))</f>
        <v>31441.179914048087</v>
      </c>
      <c r="I77" s="12" t="str">
        <f t="shared" si="17"/>
        <v/>
      </c>
      <c r="J77" s="12" t="str">
        <f t="shared" si="18"/>
        <v/>
      </c>
      <c r="K77" s="12" t="str">
        <f t="shared" si="19"/>
        <v/>
      </c>
      <c r="L77" s="12" t="str">
        <f t="shared" si="20"/>
        <v/>
      </c>
      <c r="M77" s="12" t="str">
        <f t="shared" si="16"/>
        <v/>
      </c>
      <c r="N77" s="12" t="str">
        <f t="shared" si="21"/>
        <v/>
      </c>
      <c r="O77" s="12" t="str">
        <f t="shared" si="22"/>
        <v/>
      </c>
      <c r="P77" s="12"/>
      <c r="Q77" s="51" t="str">
        <f>IF(A76=$D$8,XIRR(S$34:S76,C$34:C76),"")</f>
        <v/>
      </c>
      <c r="R77" s="115" t="str">
        <f t="shared" si="6"/>
        <v/>
      </c>
      <c r="S77" s="115">
        <f t="shared" ca="1" si="4"/>
        <v>31441.179914048087</v>
      </c>
    </row>
    <row r="78" spans="1:19" x14ac:dyDescent="0.35">
      <c r="A78" s="10">
        <f t="shared" si="5"/>
        <v>44</v>
      </c>
      <c r="B78" s="49">
        <f ca="1">EDATE($B$34,44)</f>
        <v>45566</v>
      </c>
      <c r="C78" s="11">
        <f t="shared" ca="1" si="23"/>
        <v>45566</v>
      </c>
      <c r="D78" s="10">
        <f t="shared" ca="1" si="15"/>
        <v>30</v>
      </c>
      <c r="E78" s="12">
        <f t="shared" ca="1" si="14"/>
        <v>412465.11710561451</v>
      </c>
      <c r="F78" s="12">
        <f ca="1">IF(AND(A77="",A79=""),"",IF(A78="",SUM($F$35:F77),IF(A78=$D$8,$E$34-SUM($F$35:F77),$F$22-G78)))</f>
        <v>20790.8948336717</v>
      </c>
      <c r="G78" s="12">
        <f ca="1">IF(A77=$D$8,SUM($G$35:G77),IF(A77&gt;$D$8,"",E77*D78*$D$9/IF(OR(YEAR(C78)=2020,YEAR(C78)=2024),366,365)))</f>
        <v>10650.285080376389</v>
      </c>
      <c r="H78" s="12">
        <f ca="1">IF(A77=$D$8,SUM($H$35:H77),IF(A77="","",(G78+F78)))</f>
        <v>31441.179914048087</v>
      </c>
      <c r="I78" s="12" t="str">
        <f t="shared" si="17"/>
        <v/>
      </c>
      <c r="J78" s="12" t="str">
        <f t="shared" si="18"/>
        <v/>
      </c>
      <c r="K78" s="12" t="str">
        <f t="shared" si="19"/>
        <v/>
      </c>
      <c r="L78" s="12" t="str">
        <f t="shared" si="20"/>
        <v/>
      </c>
      <c r="M78" s="12" t="str">
        <f t="shared" si="16"/>
        <v/>
      </c>
      <c r="N78" s="12" t="str">
        <f t="shared" si="21"/>
        <v/>
      </c>
      <c r="O78" s="12" t="str">
        <f t="shared" si="22"/>
        <v/>
      </c>
      <c r="P78" s="12"/>
      <c r="Q78" s="51" t="str">
        <f>IF(A77=$D$8,XIRR(S$34:S77,C$34:C77),"")</f>
        <v/>
      </c>
      <c r="R78" s="115" t="str">
        <f t="shared" si="6"/>
        <v/>
      </c>
      <c r="S78" s="115">
        <f t="shared" ca="1" si="4"/>
        <v>31441.179914048087</v>
      </c>
    </row>
    <row r="79" spans="1:19" x14ac:dyDescent="0.35">
      <c r="A79" s="10">
        <f t="shared" si="5"/>
        <v>45</v>
      </c>
      <c r="B79" s="49">
        <f ca="1">EDATE($B$34,45)</f>
        <v>45597</v>
      </c>
      <c r="C79" s="11">
        <f t="shared" ca="1" si="23"/>
        <v>45597</v>
      </c>
      <c r="D79" s="10">
        <f t="shared" ca="1" si="15"/>
        <v>31</v>
      </c>
      <c r="E79" s="12">
        <f t="shared" ca="1" si="14"/>
        <v>391501.11464298499</v>
      </c>
      <c r="F79" s="12">
        <f ca="1">IF(AND(A78="",A80=""),"",IF(A79="",SUM($F$35:F78),IF(A79=$D$8,$E$34-SUM($F$35:F78),$F$22-G79)))</f>
        <v>20964.002462629545</v>
      </c>
      <c r="G79" s="12">
        <f ca="1">IF(A78=$D$8,SUM($G$35:G78),IF(A78&gt;$D$8,"",E78*D79*$D$9/IF(OR(YEAR(C79)=2020,YEAR(C79)=2024),366,365)))</f>
        <v>10477.177451418545</v>
      </c>
      <c r="H79" s="12">
        <f ca="1">IF(A78=$D$8,SUM($H$35:H78),IF(A78="","",(G79+F79)))</f>
        <v>31441.179914048091</v>
      </c>
      <c r="I79" s="12" t="str">
        <f t="shared" si="17"/>
        <v/>
      </c>
      <c r="J79" s="12" t="str">
        <f t="shared" si="18"/>
        <v/>
      </c>
      <c r="K79" s="12" t="str">
        <f t="shared" si="19"/>
        <v/>
      </c>
      <c r="L79" s="12" t="str">
        <f t="shared" si="20"/>
        <v/>
      </c>
      <c r="M79" s="12" t="str">
        <f t="shared" si="16"/>
        <v/>
      </c>
      <c r="N79" s="12" t="str">
        <f t="shared" si="21"/>
        <v/>
      </c>
      <c r="O79" s="12" t="str">
        <f t="shared" si="22"/>
        <v/>
      </c>
      <c r="P79" s="12"/>
      <c r="Q79" s="51" t="str">
        <f>IF(A78=$D$8,XIRR(S$34:S78,C$34:C78),"")</f>
        <v/>
      </c>
      <c r="R79" s="115" t="str">
        <f t="shared" si="6"/>
        <v/>
      </c>
      <c r="S79" s="115">
        <f t="shared" ca="1" si="4"/>
        <v>31441.179914048091</v>
      </c>
    </row>
    <row r="80" spans="1:19" x14ac:dyDescent="0.35">
      <c r="A80" s="10">
        <f t="shared" si="5"/>
        <v>46</v>
      </c>
      <c r="B80" s="49">
        <f ca="1">EDATE($B$34,46)</f>
        <v>45627</v>
      </c>
      <c r="C80" s="11">
        <f t="shared" ca="1" si="23"/>
        <v>45627</v>
      </c>
      <c r="D80" s="10">
        <f t="shared" ca="1" si="15"/>
        <v>30</v>
      </c>
      <c r="E80" s="12">
        <f t="shared" ca="1" si="14"/>
        <v>369683.80229298864</v>
      </c>
      <c r="F80" s="12">
        <f ca="1">IF(AND(A79="",A81=""),"",IF(A80="",SUM($F$35:F79),IF(A80=$D$8,$E$34-SUM($F$35:F79),$F$22-G80)))</f>
        <v>21817.312349996355</v>
      </c>
      <c r="G80" s="12">
        <f ca="1">IF(A79=$D$8,SUM($G$35:G79),IF(A79&gt;$D$8,"",E79*D80*$D$9/IF(OR(YEAR(C80)=2020,YEAR(C80)=2024),366,365)))</f>
        <v>9623.8675640517376</v>
      </c>
      <c r="H80" s="12">
        <f ca="1">IF(A79=$D$8,SUM($H$35:H79),IF(A79="","",(G80+F80)))</f>
        <v>31441.179914048094</v>
      </c>
      <c r="I80" s="12" t="str">
        <f t="shared" si="17"/>
        <v/>
      </c>
      <c r="J80" s="12" t="str">
        <f t="shared" si="18"/>
        <v/>
      </c>
      <c r="K80" s="12" t="str">
        <f t="shared" si="19"/>
        <v/>
      </c>
      <c r="L80" s="12" t="str">
        <f t="shared" si="20"/>
        <v/>
      </c>
      <c r="M80" s="12" t="str">
        <f t="shared" ref="M80:M111" si="24">IF(A79=$F$8,$M$34,"")</f>
        <v/>
      </c>
      <c r="N80" s="12" t="str">
        <f t="shared" si="21"/>
        <v/>
      </c>
      <c r="O80" s="12" t="str">
        <f t="shared" si="22"/>
        <v/>
      </c>
      <c r="P80" s="12"/>
      <c r="Q80" s="51" t="str">
        <f>IF(A79=$D$8,XIRR(S$34:S79,C$34:C79),"")</f>
        <v/>
      </c>
      <c r="R80" s="115" t="str">
        <f t="shared" si="6"/>
        <v/>
      </c>
      <c r="S80" s="115">
        <f t="shared" ca="1" si="4"/>
        <v>31441.179914048094</v>
      </c>
    </row>
    <row r="81" spans="1:21" x14ac:dyDescent="0.35">
      <c r="A81" s="10">
        <f t="shared" si="5"/>
        <v>47</v>
      </c>
      <c r="B81" s="49">
        <f ca="1">EDATE($B$34,47)</f>
        <v>45658</v>
      </c>
      <c r="C81" s="11">
        <f t="shared" ca="1" si="23"/>
        <v>45658</v>
      </c>
      <c r="D81" s="10">
        <f t="shared" ca="1" si="15"/>
        <v>31</v>
      </c>
      <c r="E81" s="12">
        <f t="shared" ca="1" si="14"/>
        <v>347658.82331466023</v>
      </c>
      <c r="F81" s="12">
        <f ca="1">IF(AND(A80="",A82=""),"",IF(A81="",SUM($F$35:F80),IF(A81=$D$8,$E$34-SUM($F$35:F80),$F$22-G81)))</f>
        <v>22024.9789783284</v>
      </c>
      <c r="G81" s="12">
        <f ca="1">IF(A80=$D$8,SUM($G$35:G80),IF(A80&gt;$D$8,"",E80*D81*$D$9/IF(OR(YEAR(C81)=2020,YEAR(C81)=2024),366,365)))</f>
        <v>9416.2009357196894</v>
      </c>
      <c r="H81" s="12">
        <f ca="1">IF(A80=$D$8,SUM($H$35:H80),IF(A80="","",(G81+F81)))</f>
        <v>31441.179914048087</v>
      </c>
      <c r="I81" s="12" t="str">
        <f t="shared" si="17"/>
        <v/>
      </c>
      <c r="J81" s="12" t="str">
        <f t="shared" si="18"/>
        <v/>
      </c>
      <c r="K81" s="12" t="str">
        <f t="shared" si="19"/>
        <v/>
      </c>
      <c r="L81" s="12" t="str">
        <f t="shared" si="20"/>
        <v/>
      </c>
      <c r="M81" s="12" t="str">
        <f t="shared" si="24"/>
        <v/>
      </c>
      <c r="N81" s="12" t="str">
        <f t="shared" si="21"/>
        <v/>
      </c>
      <c r="O81" s="12" t="str">
        <f t="shared" si="22"/>
        <v/>
      </c>
      <c r="P81" s="12"/>
      <c r="Q81" s="51" t="str">
        <f>IF(A80=$D$8,XIRR(S$34:S80,C$34:C80),"")</f>
        <v/>
      </c>
      <c r="R81" s="115" t="str">
        <f t="shared" si="6"/>
        <v/>
      </c>
      <c r="S81" s="115">
        <f t="shared" ca="1" si="4"/>
        <v>31441.179914048087</v>
      </c>
    </row>
    <row r="82" spans="1:21" x14ac:dyDescent="0.35">
      <c r="A82" s="10">
        <f t="shared" si="5"/>
        <v>48</v>
      </c>
      <c r="B82" s="49">
        <f ca="1">EDATE($B$34,48)</f>
        <v>45689</v>
      </c>
      <c r="C82" s="11">
        <f t="shared" ca="1" si="23"/>
        <v>45689</v>
      </c>
      <c r="D82" s="10">
        <f t="shared" ca="1" si="15"/>
        <v>31</v>
      </c>
      <c r="E82" s="12">
        <f t="shared" ca="1" si="14"/>
        <v>325072.84700191097</v>
      </c>
      <c r="F82" s="12">
        <f ca="1">IF(AND(A81="",A83=""),"",IF(A82="",SUM($F$35:F81),IF(A82=$D$8,$E$34-SUM($F$35:F81),$F$22-G82)))</f>
        <v>22585.976312749284</v>
      </c>
      <c r="G82" s="12">
        <f ca="1">IF(A81=$D$8,SUM($G$35:G81),IF(A81&gt;$D$8,"",E81*D82*$D$9/IF(OR(YEAR(C82)=2020,YEAR(C82)=2024),366,365)))</f>
        <v>8855.2036012988083</v>
      </c>
      <c r="H82" s="12">
        <f ca="1">IF(A81=$D$8,SUM($H$35:H81),IF(A81="","",(G82+F82)))</f>
        <v>31441.179914048094</v>
      </c>
      <c r="I82" s="12" t="str">
        <f t="shared" si="17"/>
        <v/>
      </c>
      <c r="J82" s="12" t="str">
        <f t="shared" si="18"/>
        <v/>
      </c>
      <c r="K82" s="12" t="str">
        <f t="shared" si="19"/>
        <v/>
      </c>
      <c r="L82" s="12" t="str">
        <f t="shared" si="20"/>
        <v/>
      </c>
      <c r="M82" s="12" t="str">
        <f t="shared" si="24"/>
        <v/>
      </c>
      <c r="N82" s="12" t="str">
        <f t="shared" si="21"/>
        <v/>
      </c>
      <c r="O82" s="12" t="str">
        <f t="shared" si="22"/>
        <v/>
      </c>
      <c r="P82" s="12"/>
      <c r="Q82" s="51" t="str">
        <f>IF(A81=$D$8,XIRR(S$34:S81,C$34:C81),"")</f>
        <v/>
      </c>
      <c r="R82" s="115" t="str">
        <f t="shared" si="6"/>
        <v/>
      </c>
      <c r="S82" s="115">
        <f t="shared" ca="1" si="4"/>
        <v>31441.179914048094</v>
      </c>
    </row>
    <row r="83" spans="1:21" x14ac:dyDescent="0.35">
      <c r="A83" s="10">
        <f t="shared" si="5"/>
        <v>49</v>
      </c>
      <c r="B83" s="49">
        <f ca="1">EDATE($B$34,49)</f>
        <v>45717</v>
      </c>
      <c r="C83" s="11">
        <f t="shared" ca="1" si="23"/>
        <v>45717</v>
      </c>
      <c r="D83" s="10">
        <f t="shared" ca="1" si="15"/>
        <v>28</v>
      </c>
      <c r="E83" s="12">
        <f t="shared" ca="1" si="14"/>
        <v>301110.30191209423</v>
      </c>
      <c r="F83" s="12">
        <f ca="1">IF(AND(A82="",A84=""),"",IF(A83="",SUM($F$35:F82),IF(A83=$D$8,$E$34-SUM($F$35:F82),$F$22-G83)))</f>
        <v>23962.545089816733</v>
      </c>
      <c r="G83" s="12">
        <f ca="1">IF(A82=$D$8,SUM($G$35:G82),IF(A82&gt;$D$8,"",E82*D83*$D$9/IF(OR(YEAR(C83)=2020,YEAR(C83)=2024),366,365)))</f>
        <v>7478.6348242313597</v>
      </c>
      <c r="H83" s="12">
        <f ca="1">IF(A82=$D$8,SUM($H$35:H82),IF(A82="","",(G83+F83)))</f>
        <v>31441.179914048094</v>
      </c>
      <c r="I83" s="12" t="str">
        <f t="shared" si="17"/>
        <v/>
      </c>
      <c r="J83" s="12" t="str">
        <f t="shared" si="18"/>
        <v/>
      </c>
      <c r="K83" s="12" t="str">
        <f t="shared" si="19"/>
        <v/>
      </c>
      <c r="L83" s="12" t="str">
        <f t="shared" si="20"/>
        <v/>
      </c>
      <c r="M83" s="12" t="str">
        <f t="shared" si="24"/>
        <v/>
      </c>
      <c r="N83" s="12" t="str">
        <f t="shared" si="21"/>
        <v/>
      </c>
      <c r="O83" s="12">
        <f>IF($F$8&gt;48,($P$17),IF($A$82=$F$8,O71+O59+O47+O34,""))</f>
        <v>2181</v>
      </c>
      <c r="P83" s="12"/>
      <c r="Q83" s="51" t="str">
        <f>IF(A82=$D$8,XIRR(S$34:S82,C$34:C82),"")</f>
        <v/>
      </c>
      <c r="R83" s="115" t="str">
        <f t="shared" si="6"/>
        <v/>
      </c>
      <c r="S83" s="115">
        <f t="shared" ca="1" si="4"/>
        <v>33622.179914048094</v>
      </c>
    </row>
    <row r="84" spans="1:21" x14ac:dyDescent="0.35">
      <c r="A84" s="10">
        <f t="shared" si="5"/>
        <v>50</v>
      </c>
      <c r="B84" s="49">
        <f ca="1">EDATE($B$34,50)</f>
        <v>45748</v>
      </c>
      <c r="C84" s="11">
        <f t="shared" ca="1" si="23"/>
        <v>45748</v>
      </c>
      <c r="D84" s="10">
        <f t="shared" ca="1" si="15"/>
        <v>31</v>
      </c>
      <c r="E84" s="12">
        <f t="shared" ca="1" si="14"/>
        <v>277338.69012365316</v>
      </c>
      <c r="F84" s="12">
        <f ca="1">IF(AND(A83="",A85=""),"",IF(A84="",SUM($F$35:F83),IF(A84=$D$8,$E$34-SUM($F$35:F83),$F$22-G84)))</f>
        <v>23771.611788441107</v>
      </c>
      <c r="G84" s="12">
        <f ca="1">IF(A83=$D$8,SUM($G$35:G83),IF(A83&gt;$D$8,"",E83*D84*$D$9/IF(OR(YEAR(C84)=2020,YEAR(C84)=2024),366,365)))</f>
        <v>7669.5681256069838</v>
      </c>
      <c r="H84" s="12">
        <f ca="1">IF(A83=$D$8,SUM($H$35:H83),IF(A83="","",(G84+F84)))</f>
        <v>31441.179914048091</v>
      </c>
      <c r="I84" s="12" t="str">
        <f t="shared" si="17"/>
        <v/>
      </c>
      <c r="J84" s="12" t="str">
        <f t="shared" si="18"/>
        <v/>
      </c>
      <c r="K84" s="12" t="str">
        <f t="shared" si="19"/>
        <v/>
      </c>
      <c r="L84" s="12" t="str">
        <f t="shared" si="20"/>
        <v/>
      </c>
      <c r="M84" s="12" t="str">
        <f t="shared" si="24"/>
        <v/>
      </c>
      <c r="N84" s="12" t="str">
        <f t="shared" si="21"/>
        <v/>
      </c>
      <c r="O84" s="12" t="str">
        <f t="shared" si="22"/>
        <v/>
      </c>
      <c r="P84" s="12"/>
      <c r="Q84" s="51" t="str">
        <f>IF(A83=$D$8,XIRR(S$34:S83,C$34:C83),"")</f>
        <v/>
      </c>
      <c r="R84" s="115" t="str">
        <f t="shared" si="6"/>
        <v/>
      </c>
      <c r="S84" s="115">
        <f t="shared" ca="1" si="4"/>
        <v>31441.179914048091</v>
      </c>
    </row>
    <row r="85" spans="1:21" x14ac:dyDescent="0.35">
      <c r="A85" s="10">
        <f t="shared" si="5"/>
        <v>51</v>
      </c>
      <c r="B85" s="49">
        <f ca="1">EDATE($B$34,51)</f>
        <v>45778</v>
      </c>
      <c r="C85" s="11">
        <f t="shared" ca="1" si="23"/>
        <v>45778</v>
      </c>
      <c r="D85" s="10">
        <f t="shared" ca="1" si="15"/>
        <v>30</v>
      </c>
      <c r="E85" s="12">
        <f t="shared" ca="1" si="14"/>
        <v>252733.71896314618</v>
      </c>
      <c r="F85" s="12">
        <f ca="1">IF(AND(A84="",A86=""),"",IF(A85="",SUM($F$35:F84),IF(A85=$D$8,$E$34-SUM($F$35:F84),$F$22-G85)))</f>
        <v>24604.971160506975</v>
      </c>
      <c r="G85" s="12">
        <f ca="1">IF(A84=$D$8,SUM($G$35:G84),IF(A84&gt;$D$8,"",E84*D85*$D$9/IF(OR(YEAR(C85)=2020,YEAR(C85)=2024),366,365)))</f>
        <v>6836.2087535411174</v>
      </c>
      <c r="H85" s="12">
        <f ca="1">IF(A84=$D$8,SUM($H$35:H84),IF(A84="","",(G85+F85)))</f>
        <v>31441.179914048094</v>
      </c>
      <c r="I85" s="12" t="str">
        <f t="shared" si="17"/>
        <v/>
      </c>
      <c r="J85" s="12" t="str">
        <f t="shared" si="18"/>
        <v/>
      </c>
      <c r="K85" s="12" t="str">
        <f t="shared" si="19"/>
        <v/>
      </c>
      <c r="L85" s="12" t="str">
        <f t="shared" si="20"/>
        <v/>
      </c>
      <c r="M85" s="12" t="str">
        <f t="shared" si="24"/>
        <v/>
      </c>
      <c r="N85" s="12" t="str">
        <f t="shared" si="21"/>
        <v/>
      </c>
      <c r="O85" s="12" t="str">
        <f t="shared" si="22"/>
        <v/>
      </c>
      <c r="P85" s="12"/>
      <c r="Q85" s="51" t="str">
        <f>IF(A84=$D$8,XIRR(S$34:S84,C$34:C84),"")</f>
        <v/>
      </c>
      <c r="R85" s="115" t="str">
        <f t="shared" si="6"/>
        <v/>
      </c>
      <c r="S85" s="115">
        <f t="shared" ca="1" si="4"/>
        <v>31441.179914048094</v>
      </c>
    </row>
    <row r="86" spans="1:21" x14ac:dyDescent="0.35">
      <c r="A86" s="10">
        <f t="shared" si="5"/>
        <v>52</v>
      </c>
      <c r="B86" s="49">
        <f ca="1">EDATE($B$34,52)</f>
        <v>45809</v>
      </c>
      <c r="C86" s="11">
        <f t="shared" ca="1" si="23"/>
        <v>45809</v>
      </c>
      <c r="D86" s="10">
        <f t="shared" ca="1" si="15"/>
        <v>31</v>
      </c>
      <c r="E86" s="12">
        <f t="shared" ca="1" si="14"/>
        <v>227729.90921849117</v>
      </c>
      <c r="F86" s="12">
        <f ca="1">IF(AND(A85="",A87=""),"",IF(A86="",SUM($F$35:F85),IF(A86=$D$8,$E$34-SUM($F$35:F85),$F$22-G86)))</f>
        <v>25003.809744655013</v>
      </c>
      <c r="G86" s="12">
        <f ca="1">IF(A85=$D$8,SUM($G$35:G85),IF(A85&gt;$D$8,"",E85*D86*$D$9/IF(OR(YEAR(C86)=2020,YEAR(C86)=2024),366,365)))</f>
        <v>6437.3701693930789</v>
      </c>
      <c r="H86" s="12">
        <f ca="1">IF(A85=$D$8,SUM($H$35:H85),IF(A85="","",(G86+F86)))</f>
        <v>31441.179914048091</v>
      </c>
      <c r="I86" s="12" t="str">
        <f t="shared" si="17"/>
        <v/>
      </c>
      <c r="J86" s="12" t="str">
        <f t="shared" si="18"/>
        <v/>
      </c>
      <c r="K86" s="12" t="str">
        <f t="shared" si="19"/>
        <v/>
      </c>
      <c r="L86" s="12" t="str">
        <f t="shared" si="20"/>
        <v/>
      </c>
      <c r="M86" s="12" t="str">
        <f t="shared" si="24"/>
        <v/>
      </c>
      <c r="N86" s="12" t="str">
        <f t="shared" si="21"/>
        <v/>
      </c>
      <c r="O86" s="12" t="str">
        <f t="shared" si="22"/>
        <v/>
      </c>
      <c r="P86" s="12"/>
      <c r="Q86" s="51" t="str">
        <f>IF(A85=$D$8,XIRR(S$34:S85,C$34:C85),"")</f>
        <v/>
      </c>
      <c r="R86" s="115" t="str">
        <f t="shared" si="6"/>
        <v/>
      </c>
      <c r="S86" s="115">
        <f t="shared" ca="1" si="4"/>
        <v>31441.179914048091</v>
      </c>
    </row>
    <row r="87" spans="1:21" x14ac:dyDescent="0.35">
      <c r="A87" s="10">
        <f t="shared" si="5"/>
        <v>53</v>
      </c>
      <c r="B87" s="49">
        <f ca="1">EDATE($B$34,53)</f>
        <v>45839</v>
      </c>
      <c r="C87" s="11">
        <f t="shared" ca="1" si="23"/>
        <v>45839</v>
      </c>
      <c r="D87" s="10">
        <f t="shared" ca="1" si="15"/>
        <v>30</v>
      </c>
      <c r="E87" s="12">
        <f t="shared" ca="1" si="14"/>
        <v>201902.11558728901</v>
      </c>
      <c r="F87" s="12">
        <f ca="1">IF(AND(A86="",A88=""),"",IF(A87="",SUM($F$35:F86),IF(A87=$D$8,$E$34-SUM($F$35:F86),$F$22-G87)))</f>
        <v>25827.793631202159</v>
      </c>
      <c r="G87" s="12">
        <f ca="1">IF(A86=$D$8,SUM($G$35:G86),IF(A86&gt;$D$8,"",E86*D87*$D$9/IF(OR(YEAR(C87)=2020,YEAR(C87)=2024),366,365)))</f>
        <v>5613.3862828459314</v>
      </c>
      <c r="H87" s="12">
        <f ca="1">IF(A86=$D$8,SUM($H$35:H86),IF(A86="","",(G87+F87)))</f>
        <v>31441.179914048091</v>
      </c>
      <c r="I87" s="12" t="str">
        <f t="shared" si="17"/>
        <v/>
      </c>
      <c r="J87" s="12" t="str">
        <f t="shared" si="18"/>
        <v/>
      </c>
      <c r="K87" s="12" t="str">
        <f t="shared" si="19"/>
        <v/>
      </c>
      <c r="L87" s="12" t="str">
        <f t="shared" si="20"/>
        <v/>
      </c>
      <c r="M87" s="12" t="str">
        <f t="shared" si="24"/>
        <v/>
      </c>
      <c r="N87" s="12" t="str">
        <f t="shared" si="21"/>
        <v/>
      </c>
      <c r="O87" s="12" t="str">
        <f t="shared" si="22"/>
        <v/>
      </c>
      <c r="P87" s="12"/>
      <c r="Q87" s="51" t="str">
        <f>IF(A86=$D$8,XIRR(S$34:S86,C$34:C86),"")</f>
        <v/>
      </c>
      <c r="R87" s="115" t="str">
        <f t="shared" si="6"/>
        <v/>
      </c>
      <c r="S87" s="115">
        <f t="shared" ca="1" si="4"/>
        <v>31441.179914048091</v>
      </c>
    </row>
    <row r="88" spans="1:21" x14ac:dyDescent="0.35">
      <c r="A88" s="10">
        <f t="shared" si="5"/>
        <v>54</v>
      </c>
      <c r="B88" s="49">
        <f ca="1">EDATE($B$34,54)</f>
        <v>45870</v>
      </c>
      <c r="C88" s="11">
        <f t="shared" ca="1" si="23"/>
        <v>45870</v>
      </c>
      <c r="D88" s="10">
        <f t="shared" ca="1" si="15"/>
        <v>31</v>
      </c>
      <c r="E88" s="12">
        <f t="shared" ca="1" si="14"/>
        <v>175603.57616201753</v>
      </c>
      <c r="F88" s="12">
        <f ca="1">IF(AND(A87="",A89=""),"",IF(A88="",SUM($F$35:F87),IF(A88=$D$8,$E$34-SUM($F$35:F87),$F$22-G88)))</f>
        <v>26298.539425271469</v>
      </c>
      <c r="G88" s="12">
        <f ca="1">IF(A87=$D$8,SUM($G$35:G87),IF(A87&gt;$D$8,"",E87*D88*$D$9/IF(OR(YEAR(C88)=2020,YEAR(C88)=2024),366,365)))</f>
        <v>5142.6404887766221</v>
      </c>
      <c r="H88" s="12">
        <f ca="1">IF(A87=$D$8,SUM($H$35:H87),IF(A87="","",(G88+F88)))</f>
        <v>31441.179914048091</v>
      </c>
      <c r="I88" s="12" t="str">
        <f t="shared" si="17"/>
        <v/>
      </c>
      <c r="J88" s="12" t="str">
        <f t="shared" si="18"/>
        <v/>
      </c>
      <c r="K88" s="12" t="str">
        <f t="shared" si="19"/>
        <v/>
      </c>
      <c r="L88" s="12" t="str">
        <f t="shared" si="20"/>
        <v/>
      </c>
      <c r="M88" s="12" t="str">
        <f t="shared" si="24"/>
        <v/>
      </c>
      <c r="N88" s="12" t="str">
        <f t="shared" si="21"/>
        <v/>
      </c>
      <c r="O88" s="12" t="str">
        <f t="shared" si="22"/>
        <v/>
      </c>
      <c r="P88" s="12"/>
      <c r="Q88" s="51" t="str">
        <f>IF(A87=$D$8,XIRR(S$34:S87,C$34:C87),"")</f>
        <v/>
      </c>
      <c r="R88" s="115" t="str">
        <f t="shared" si="6"/>
        <v/>
      </c>
      <c r="S88" s="115">
        <f t="shared" ca="1" si="4"/>
        <v>31441.179914048091</v>
      </c>
    </row>
    <row r="89" spans="1:21" x14ac:dyDescent="0.35">
      <c r="A89" s="10">
        <f t="shared" si="5"/>
        <v>55</v>
      </c>
      <c r="B89" s="49">
        <f ca="1">EDATE($B$34,55)</f>
        <v>45901</v>
      </c>
      <c r="C89" s="11">
        <f t="shared" ca="1" si="23"/>
        <v>45901</v>
      </c>
      <c r="D89" s="10">
        <f t="shared" ca="1" si="15"/>
        <v>31</v>
      </c>
      <c r="E89" s="12">
        <f t="shared" ca="1" si="14"/>
        <v>148635.18771980685</v>
      </c>
      <c r="F89" s="12">
        <f ca="1">IF(AND(A88="",A90=""),"",IF(A89="",SUM($F$35:F88),IF(A89=$D$8,$E$34-SUM($F$35:F88),$F$22-G89)))</f>
        <v>26968.388442210664</v>
      </c>
      <c r="G89" s="12">
        <f ca="1">IF(A88=$D$8,SUM($G$35:G88),IF(A88&gt;$D$8,"",E88*D89*$D$9/IF(OR(YEAR(C89)=2020,YEAR(C89)=2024),366,365)))</f>
        <v>4472.7914718374268</v>
      </c>
      <c r="H89" s="12">
        <f ca="1">IF(A88=$D$8,SUM($H$35:H88),IF(A88="","",(G89+F89)))</f>
        <v>31441.179914048091</v>
      </c>
      <c r="I89" s="12" t="str">
        <f t="shared" si="17"/>
        <v/>
      </c>
      <c r="J89" s="12" t="str">
        <f t="shared" si="18"/>
        <v/>
      </c>
      <c r="K89" s="12" t="str">
        <f t="shared" si="19"/>
        <v/>
      </c>
      <c r="L89" s="12" t="str">
        <f t="shared" si="20"/>
        <v/>
      </c>
      <c r="M89" s="12" t="str">
        <f t="shared" si="24"/>
        <v/>
      </c>
      <c r="N89" s="12" t="str">
        <f t="shared" si="21"/>
        <v/>
      </c>
      <c r="O89" s="12" t="str">
        <f t="shared" si="22"/>
        <v/>
      </c>
      <c r="P89" s="12"/>
      <c r="Q89" s="51" t="str">
        <f>IF(A88=$D$8,XIRR(S$34:S88,C$34:C88),"")</f>
        <v/>
      </c>
      <c r="R89" s="115" t="str">
        <f t="shared" si="6"/>
        <v/>
      </c>
      <c r="S89" s="115">
        <f t="shared" ca="1" si="4"/>
        <v>31441.179914048091</v>
      </c>
    </row>
    <row r="90" spans="1:21" x14ac:dyDescent="0.35">
      <c r="A90" s="10">
        <f t="shared" si="5"/>
        <v>56</v>
      </c>
      <c r="B90" s="49">
        <f ca="1">EDATE($B$34,56)</f>
        <v>45931</v>
      </c>
      <c r="C90" s="11">
        <f t="shared" ca="1" si="23"/>
        <v>45931</v>
      </c>
      <c r="D90" s="10">
        <f t="shared" ca="1" si="15"/>
        <v>30</v>
      </c>
      <c r="E90" s="12">
        <f t="shared" ca="1" si="14"/>
        <v>120857.7633781289</v>
      </c>
      <c r="F90" s="12">
        <f ca="1">IF(AND(A89="",A91=""),"",IF(A90="",SUM($F$35:F89),IF(A90=$D$8,$E$34-SUM($F$35:F89),$F$22-G90)))</f>
        <v>27777.424341677946</v>
      </c>
      <c r="G90" s="12">
        <f ca="1">IF(A89=$D$8,SUM($G$35:G89),IF(A89&gt;$D$8,"",E89*D90*$D$9/IF(OR(YEAR(C90)=2020,YEAR(C90)=2024),366,365)))</f>
        <v>3663.755572370143</v>
      </c>
      <c r="H90" s="12">
        <f ca="1">IF(A89=$D$8,SUM($H$35:H89),IF(A89="","",(G90+F90)))</f>
        <v>31441.179914048091</v>
      </c>
      <c r="I90" s="12" t="str">
        <f t="shared" si="17"/>
        <v/>
      </c>
      <c r="J90" s="12" t="str">
        <f t="shared" si="18"/>
        <v/>
      </c>
      <c r="K90" s="12" t="str">
        <f t="shared" si="19"/>
        <v/>
      </c>
      <c r="L90" s="12" t="str">
        <f t="shared" si="20"/>
        <v/>
      </c>
      <c r="M90" s="12" t="str">
        <f t="shared" si="24"/>
        <v/>
      </c>
      <c r="N90" s="12" t="str">
        <f t="shared" si="21"/>
        <v/>
      </c>
      <c r="O90" s="12" t="str">
        <f t="shared" si="22"/>
        <v/>
      </c>
      <c r="P90" s="12"/>
      <c r="Q90" s="51" t="str">
        <f>IF(A89=$D$8,XIRR(S$34:S89,C$34:C89),"")</f>
        <v/>
      </c>
      <c r="R90" s="115" t="str">
        <f t="shared" si="6"/>
        <v/>
      </c>
      <c r="S90" s="115">
        <f t="shared" ca="1" si="4"/>
        <v>31441.179914048091</v>
      </c>
    </row>
    <row r="91" spans="1:21" x14ac:dyDescent="0.35">
      <c r="A91" s="10">
        <f t="shared" si="5"/>
        <v>57</v>
      </c>
      <c r="B91" s="49">
        <f ca="1">EDATE($B$34,57)</f>
        <v>45962</v>
      </c>
      <c r="C91" s="11">
        <f t="shared" ca="1" si="23"/>
        <v>45962</v>
      </c>
      <c r="D91" s="10">
        <f t="shared" ca="1" si="15"/>
        <v>31</v>
      </c>
      <c r="E91" s="12">
        <f t="shared" ca="1" si="14"/>
        <v>92494.94658832773</v>
      </c>
      <c r="F91" s="12">
        <f ca="1">IF(AND(A90="",A92=""),"",IF(A91="",SUM($F$35:F90),IF(A91=$D$8,$E$34-SUM($F$35:F90),$F$22-G91)))</f>
        <v>28362.816789801167</v>
      </c>
      <c r="G91" s="12">
        <f ca="1">IF(A90=$D$8,SUM($G$35:G90),IF(A90&gt;$D$8,"",E90*D91*$D$9/IF(OR(YEAR(C91)=2020,YEAR(C91)=2024),366,365)))</f>
        <v>3078.3631242469223</v>
      </c>
      <c r="H91" s="12">
        <f ca="1">IF(A90=$D$8,SUM($H$35:H90),IF(A90="","",(G91+F91)))</f>
        <v>31441.179914048091</v>
      </c>
      <c r="I91" s="12" t="str">
        <f t="shared" si="17"/>
        <v/>
      </c>
      <c r="J91" s="12" t="str">
        <f t="shared" si="18"/>
        <v/>
      </c>
      <c r="K91" s="12" t="str">
        <f t="shared" si="19"/>
        <v/>
      </c>
      <c r="L91" s="12" t="str">
        <f t="shared" si="20"/>
        <v/>
      </c>
      <c r="M91" s="12" t="str">
        <f t="shared" si="24"/>
        <v/>
      </c>
      <c r="N91" s="12" t="str">
        <f t="shared" si="21"/>
        <v/>
      </c>
      <c r="O91" s="12" t="str">
        <f t="shared" si="22"/>
        <v/>
      </c>
      <c r="P91" s="12"/>
      <c r="Q91" s="51" t="str">
        <f>IF(A90=$D$8,XIRR(S$34:S90,C$34:C90),"")</f>
        <v/>
      </c>
      <c r="R91" s="115" t="str">
        <f t="shared" si="6"/>
        <v/>
      </c>
      <c r="S91" s="115">
        <f t="shared" ca="1" si="4"/>
        <v>31441.179914048091</v>
      </c>
    </row>
    <row r="92" spans="1:21" x14ac:dyDescent="0.35">
      <c r="A92" s="10">
        <f t="shared" si="5"/>
        <v>58</v>
      </c>
      <c r="B92" s="49">
        <f ca="1">EDATE($B$34,58)</f>
        <v>45992</v>
      </c>
      <c r="C92" s="11">
        <f t="shared" ca="1" si="23"/>
        <v>45992</v>
      </c>
      <c r="D92" s="10">
        <f t="shared" ca="1" si="15"/>
        <v>30</v>
      </c>
      <c r="E92" s="12">
        <f t="shared" ca="1" si="14"/>
        <v>63333.703754978778</v>
      </c>
      <c r="F92" s="12">
        <f ca="1">IF(AND(A91="",A93=""),"",IF(A92="",SUM($F$35:F91),IF(A92=$D$8,$E$34-SUM($F$35:F91),$F$22-G92)))</f>
        <v>29161.242833348955</v>
      </c>
      <c r="G92" s="12">
        <f ca="1">IF(A91=$D$8,SUM($G$35:G91),IF(A91&gt;$D$8,"",E91*D92*$D$9/IF(OR(YEAR(C92)=2020,YEAR(C92)=2024),366,365)))</f>
        <v>2279.937080699136</v>
      </c>
      <c r="H92" s="12">
        <f ca="1">IF(A91=$D$8,SUM($H$35:H91),IF(A91="","",(G92+F92)))</f>
        <v>31441.179914048091</v>
      </c>
      <c r="I92" s="12" t="str">
        <f t="shared" si="17"/>
        <v/>
      </c>
      <c r="J92" s="12" t="str">
        <f t="shared" si="18"/>
        <v/>
      </c>
      <c r="K92" s="12" t="str">
        <f t="shared" si="19"/>
        <v/>
      </c>
      <c r="L92" s="12" t="str">
        <f t="shared" si="20"/>
        <v/>
      </c>
      <c r="M92" s="12" t="str">
        <f t="shared" si="24"/>
        <v/>
      </c>
      <c r="N92" s="12" t="str">
        <f t="shared" si="21"/>
        <v/>
      </c>
      <c r="O92" s="12" t="str">
        <f t="shared" si="22"/>
        <v/>
      </c>
      <c r="P92" s="12"/>
      <c r="Q92" s="51" t="str">
        <f>IF(A91=$D$8,XIRR(S$34:S91,C$34:C91),"")</f>
        <v/>
      </c>
      <c r="R92" s="115" t="str">
        <f t="shared" si="6"/>
        <v/>
      </c>
      <c r="S92" s="115">
        <f t="shared" ca="1" si="4"/>
        <v>31441.179914048091</v>
      </c>
    </row>
    <row r="93" spans="1:21" x14ac:dyDescent="0.35">
      <c r="A93" s="10">
        <f t="shared" si="5"/>
        <v>59</v>
      </c>
      <c r="B93" s="49">
        <f ca="1">EDATE($B$34,59)</f>
        <v>46023</v>
      </c>
      <c r="C93" s="11">
        <f t="shared" ca="1" si="23"/>
        <v>46023</v>
      </c>
      <c r="D93" s="10">
        <f t="shared" ca="1" si="15"/>
        <v>31</v>
      </c>
      <c r="E93" s="12">
        <f t="shared" ca="1" si="14"/>
        <v>33505.694006518803</v>
      </c>
      <c r="F93" s="12">
        <f ca="1">IF(AND(A92="",A94=""),"",IF(A93="",SUM($F$35:F92),IF(A93=$D$8,$E$34-SUM($F$35:F92),$F$22-G93)))</f>
        <v>29828.009748459976</v>
      </c>
      <c r="G93" s="12">
        <f ca="1">IF(A92=$D$8,SUM($G$35:G92),IF(A92&gt;$D$8,"",E92*D93*$D$9/IF(OR(YEAR(C93)=2020,YEAR(C93)=2024),366,365)))</f>
        <v>1613.1701655881157</v>
      </c>
      <c r="H93" s="12">
        <f ca="1">IF(A92=$D$8,SUM($H$35:H92),IF(A92="","",(G93+F93)))</f>
        <v>31441.179914048091</v>
      </c>
      <c r="I93" s="12" t="str">
        <f t="shared" si="17"/>
        <v/>
      </c>
      <c r="J93" s="12" t="str">
        <f t="shared" si="18"/>
        <v/>
      </c>
      <c r="K93" s="12" t="str">
        <f t="shared" si="19"/>
        <v/>
      </c>
      <c r="L93" s="12" t="str">
        <f t="shared" si="20"/>
        <v/>
      </c>
      <c r="M93" s="12" t="str">
        <f t="shared" si="24"/>
        <v/>
      </c>
      <c r="N93" s="12" t="str">
        <f t="shared" si="21"/>
        <v/>
      </c>
      <c r="O93" s="12" t="str">
        <f t="shared" si="22"/>
        <v/>
      </c>
      <c r="P93" s="12"/>
      <c r="Q93" s="51" t="str">
        <f>IF(A92=$D$8,XIRR(S$34:S92,C$34:C92),"")</f>
        <v/>
      </c>
      <c r="R93" s="115" t="str">
        <f t="shared" si="6"/>
        <v/>
      </c>
      <c r="S93" s="115">
        <f t="shared" ca="1" si="4"/>
        <v>31441.179914048091</v>
      </c>
    </row>
    <row r="94" spans="1:21" x14ac:dyDescent="0.35">
      <c r="A94" s="10">
        <f t="shared" si="5"/>
        <v>60</v>
      </c>
      <c r="B94" s="49">
        <f ca="1">EDATE($B$34,60)</f>
        <v>46054</v>
      </c>
      <c r="C94" s="11">
        <f t="shared" ca="1" si="23"/>
        <v>46053</v>
      </c>
      <c r="D94" s="10">
        <f t="shared" ca="1" si="15"/>
        <v>30</v>
      </c>
      <c r="E94" s="12">
        <f t="shared" ca="1" si="14"/>
        <v>3.4197000786662102E-10</v>
      </c>
      <c r="F94" s="12">
        <f ca="1">IF(AND(A93="",A95=""),"",IF(A94="",SUM($F$35:F93),IF(A94=$D$8,$E$34-SUM($F$35:F93),$F$22-G94)))</f>
        <v>33505.694006518461</v>
      </c>
      <c r="G94" s="12">
        <f ca="1">IF(A93=$D$8,SUM($G$35:G93),IF(A93&gt;$D$8,"",E93*D94*$D$9/IF(OR(YEAR(C94)=2020,YEAR(C94)=2024),366,365)))</f>
        <v>825.89240815520452</v>
      </c>
      <c r="H94" s="12">
        <f ca="1">IF(A93=$D$8,SUM($H$35:H93),IF(A93="","",(G94+F94)))</f>
        <v>34331.586414673664</v>
      </c>
      <c r="I94" s="12" t="str">
        <f t="shared" si="17"/>
        <v/>
      </c>
      <c r="J94" s="12" t="str">
        <f t="shared" si="18"/>
        <v/>
      </c>
      <c r="K94" s="12" t="str">
        <f t="shared" si="19"/>
        <v/>
      </c>
      <c r="L94" s="12" t="str">
        <f t="shared" si="20"/>
        <v/>
      </c>
      <c r="M94" s="12" t="str">
        <f t="shared" si="24"/>
        <v/>
      </c>
      <c r="N94" s="12" t="str">
        <f t="shared" si="21"/>
        <v/>
      </c>
      <c r="O94" s="12" t="str">
        <f t="shared" si="22"/>
        <v/>
      </c>
      <c r="P94" s="12"/>
      <c r="Q94" s="51" t="str">
        <f>IF(A93=$D$8,XIRR(S$34:S93,C$34:C93),"")</f>
        <v/>
      </c>
      <c r="R94" s="115" t="str">
        <f t="shared" si="6"/>
        <v/>
      </c>
      <c r="S94" s="115">
        <f t="shared" ca="1" si="4"/>
        <v>34331.586414673664</v>
      </c>
    </row>
    <row r="95" spans="1:21" x14ac:dyDescent="0.35">
      <c r="A95" s="10" t="str">
        <f t="shared" si="5"/>
        <v/>
      </c>
      <c r="B95" s="49">
        <f ca="1">EDATE($B$34,61)</f>
        <v>46082</v>
      </c>
      <c r="C95" s="11" t="str">
        <f t="shared" ca="1" si="23"/>
        <v/>
      </c>
      <c r="D95" s="10" t="str">
        <f t="shared" si="15"/>
        <v/>
      </c>
      <c r="E95" s="12" t="str">
        <f t="shared" si="14"/>
        <v/>
      </c>
      <c r="F95" s="12">
        <f ca="1">IF(AND(A94="",A96=""),"",IF(A95="",SUM($F$35:F94),IF(A95=$D$8,$E$34-SUM($F$35:F94),$F$30-G95)))</f>
        <v>1000000</v>
      </c>
      <c r="G95" s="12">
        <f ca="1">IF(A94=$D$8,SUM($G$35:G94),IF(A94&gt;$D$8,"",E94*D95*$F$27/IF(OR(YEAR(C95)=2020,YEAR(C95)=2024),366,365)))</f>
        <v>845037.66160136706</v>
      </c>
      <c r="H95" s="12">
        <f ca="1">IF(A94=$D$8,SUM($H$35:H94),IF(A94="","",(G95+F95)))</f>
        <v>1845037.6616013683</v>
      </c>
      <c r="I95" s="12">
        <f t="shared" si="17"/>
        <v>0</v>
      </c>
      <c r="J95" s="12">
        <f t="shared" si="18"/>
        <v>0</v>
      </c>
      <c r="K95" s="12">
        <f t="shared" si="19"/>
        <v>59900</v>
      </c>
      <c r="L95" s="12">
        <f t="shared" si="20"/>
        <v>0</v>
      </c>
      <c r="M95" s="12">
        <f t="shared" si="24"/>
        <v>10000</v>
      </c>
      <c r="N95" s="12">
        <f t="shared" si="21"/>
        <v>0</v>
      </c>
      <c r="O95" s="12">
        <f>IF($F$8&gt;60,($P$17),IF($A$94=$F$8,O83+O71+O59+O47+O34,""))</f>
        <v>10905</v>
      </c>
      <c r="P95" s="12"/>
      <c r="Q95" s="51">
        <f ca="1">IF(A94=$D$8,XIRR(S$34:S94,C$34:C94),"")</f>
        <v>0.35025878548622136</v>
      </c>
      <c r="R95" s="115">
        <f t="shared" ca="1" si="6"/>
        <v>1925842.6616013669</v>
      </c>
      <c r="U95" s="53"/>
    </row>
    <row r="96" spans="1:21" x14ac:dyDescent="0.35">
      <c r="A96" s="10" t="str">
        <f t="shared" si="5"/>
        <v/>
      </c>
      <c r="B96" s="49">
        <f ca="1">EDATE($B$34,62)</f>
        <v>46113</v>
      </c>
      <c r="C96" s="11" t="str">
        <f t="shared" ca="1" si="23"/>
        <v/>
      </c>
      <c r="D96" s="10" t="str">
        <f t="shared" si="15"/>
        <v/>
      </c>
      <c r="E96" s="12" t="str">
        <f t="shared" si="14"/>
        <v/>
      </c>
      <c r="F96" s="12" t="str">
        <f>IF(AND(A95="",A97=""),"",IF(A96="",SUM($F$35:F95),IF(A96=$D$8,$E$34-SUM($F$35:F95),$F$30-G96)))</f>
        <v/>
      </c>
      <c r="G96" s="12" t="str">
        <f>IF(A95=$D$8,SUM($G$35:G95),IF(A95&gt;$D$8,"",E95*D96*$F$27/IF(OR(YEAR(C96)=2020,YEAR(C96)=2024),366,365)))</f>
        <v/>
      </c>
      <c r="H96" s="12" t="str">
        <f>IF(A95=$D$8,SUM($H$35:H95),IF(A95="","",(G96+F96)))</f>
        <v/>
      </c>
      <c r="I96" s="12"/>
      <c r="J96" s="12"/>
      <c r="K96" s="12"/>
      <c r="L96" s="12"/>
      <c r="M96" s="12" t="str">
        <f t="shared" si="24"/>
        <v/>
      </c>
      <c r="N96" s="12"/>
      <c r="O96" s="12"/>
      <c r="P96" s="12"/>
      <c r="Q96" s="51" t="str">
        <f>IF(A95=$D$8,XIRR(H$34:H95,C$34:C95),"")</f>
        <v/>
      </c>
      <c r="R96" s="12" t="str">
        <f t="shared" ref="R96:R119" si="25">IF(A95=$D$8,G96+M96+F96,"")</f>
        <v/>
      </c>
    </row>
    <row r="97" spans="1:18" x14ac:dyDescent="0.35">
      <c r="A97" s="10" t="str">
        <f t="shared" si="5"/>
        <v/>
      </c>
      <c r="B97" s="49">
        <f ca="1">EDATE($B$34,63)</f>
        <v>46143</v>
      </c>
      <c r="C97" s="11" t="str">
        <f t="shared" ca="1" si="23"/>
        <v/>
      </c>
      <c r="D97" s="10" t="str">
        <f t="shared" si="15"/>
        <v/>
      </c>
      <c r="E97" s="12" t="str">
        <f t="shared" si="14"/>
        <v/>
      </c>
      <c r="F97" s="12" t="str">
        <f>IF(AND(A96="",A98=""),"",IF(A97="",SUM($F$35:F96),IF(A97=$D$8,$E$34-SUM($F$35:F96),$F$30-G97)))</f>
        <v/>
      </c>
      <c r="G97" s="12" t="str">
        <f>IF(A96=$D$8,SUM($G$35:G96),IF(A96&gt;$D$8,"",E96*D97*$F$27/IF(OR(YEAR(C97)=2020,YEAR(C97)=2024),366,365)))</f>
        <v/>
      </c>
      <c r="H97" s="12" t="str">
        <f>IF(A96=$D$8,SUM($H$35:H96),IF(A96="","",(G97+F97)))</f>
        <v/>
      </c>
      <c r="I97" s="12"/>
      <c r="J97" s="12"/>
      <c r="K97" s="12"/>
      <c r="L97" s="12"/>
      <c r="M97" s="12" t="str">
        <f t="shared" si="24"/>
        <v/>
      </c>
      <c r="N97" s="12"/>
      <c r="O97" s="12"/>
      <c r="P97" s="12"/>
      <c r="Q97" s="51" t="str">
        <f>IF(A96=$D$8,XIRR(H$34:H96,C$34:C96),"")</f>
        <v/>
      </c>
      <c r="R97" s="12" t="str">
        <f t="shared" si="25"/>
        <v/>
      </c>
    </row>
    <row r="98" spans="1:18" x14ac:dyDescent="0.35">
      <c r="A98" s="10" t="str">
        <f t="shared" si="5"/>
        <v/>
      </c>
      <c r="B98" s="49">
        <f ca="1">EDATE($B$34,64)</f>
        <v>46174</v>
      </c>
      <c r="C98" s="11" t="str">
        <f t="shared" ca="1" si="23"/>
        <v/>
      </c>
      <c r="D98" s="10" t="str">
        <f t="shared" si="15"/>
        <v/>
      </c>
      <c r="E98" s="12" t="str">
        <f t="shared" si="14"/>
        <v/>
      </c>
      <c r="F98" s="12" t="str">
        <f>IF(AND(A97="",A99=""),"",IF(A98="",SUM($F$35:F97),IF(A98=$D$8,$E$34-SUM($F$35:F97),$F$30-G98)))</f>
        <v/>
      </c>
      <c r="G98" s="12" t="str">
        <f>IF(A97=$D$8,SUM($G$35:G97),IF(A97&gt;$D$8,"",E97*D98*$F$27/IF(OR(YEAR(C98)=2020,YEAR(C98)=2024),366,365)))</f>
        <v/>
      </c>
      <c r="H98" s="12" t="str">
        <f>IF(A97=$D$8,SUM($H$35:H97),IF(A97="","",(G98+F98)))</f>
        <v/>
      </c>
      <c r="I98" s="12"/>
      <c r="J98" s="12"/>
      <c r="K98" s="12"/>
      <c r="L98" s="12"/>
      <c r="M98" s="12" t="str">
        <f t="shared" si="24"/>
        <v/>
      </c>
      <c r="N98" s="12"/>
      <c r="O98" s="12"/>
      <c r="P98" s="12"/>
      <c r="Q98" s="51" t="str">
        <f>IF(A97=$D$8,XIRR(H$34:H97,C$34:C97),"")</f>
        <v/>
      </c>
      <c r="R98" s="12" t="str">
        <f t="shared" si="25"/>
        <v/>
      </c>
    </row>
    <row r="99" spans="1:18" x14ac:dyDescent="0.35">
      <c r="A99" s="10" t="str">
        <f t="shared" si="5"/>
        <v/>
      </c>
      <c r="B99" s="49">
        <f ca="1">EDATE($B$34,65)</f>
        <v>46204</v>
      </c>
      <c r="C99" s="11" t="str">
        <f t="shared" ca="1" si="23"/>
        <v/>
      </c>
      <c r="D99" s="10" t="str">
        <f t="shared" si="15"/>
        <v/>
      </c>
      <c r="E99" s="12" t="str">
        <f t="shared" si="14"/>
        <v/>
      </c>
      <c r="F99" s="12" t="str">
        <f>IF(AND(A98="",A100=""),"",IF(A99="",SUM($F$35:F98),IF(A99=$D$8,$E$34-SUM($F$35:F98),$F$30-G99)))</f>
        <v/>
      </c>
      <c r="G99" s="12" t="str">
        <f>IF(A98=$D$8,SUM($G$35:G98),IF(A98&gt;$D$8,"",E98*D99*$F$27/IF(OR(YEAR(C99)=2020,YEAR(C99)=2024),366,365)))</f>
        <v/>
      </c>
      <c r="H99" s="12" t="str">
        <f>IF(A98=$D$8,SUM($H$35:H98),IF(A98="","",(G99+F99)))</f>
        <v/>
      </c>
      <c r="I99" s="12"/>
      <c r="J99" s="12"/>
      <c r="K99" s="12"/>
      <c r="L99" s="12"/>
      <c r="M99" s="12" t="str">
        <f t="shared" si="24"/>
        <v/>
      </c>
      <c r="N99" s="12"/>
      <c r="O99" s="12"/>
      <c r="P99" s="12"/>
      <c r="Q99" s="51" t="str">
        <f>IF(A98=$D$8,XIRR(H$34:H98,C$34:C98),"")</f>
        <v/>
      </c>
      <c r="R99" s="12" t="str">
        <f t="shared" si="25"/>
        <v/>
      </c>
    </row>
    <row r="100" spans="1:18" x14ac:dyDescent="0.35">
      <c r="A100" s="10" t="str">
        <f t="shared" si="5"/>
        <v/>
      </c>
      <c r="B100" s="49">
        <f ca="1">EDATE($B$34,66)</f>
        <v>46235</v>
      </c>
      <c r="C100" s="11" t="str">
        <f t="shared" ca="1" si="23"/>
        <v/>
      </c>
      <c r="D100" s="10" t="str">
        <f t="shared" si="15"/>
        <v/>
      </c>
      <c r="E100" s="12" t="str">
        <f t="shared" si="14"/>
        <v/>
      </c>
      <c r="F100" s="12" t="str">
        <f>IF(AND(A99="",A101=""),"",IF(A100="",SUM($F$35:F99),IF(A100=$D$8,$E$34-SUM($F$35:F99),$F$30-G100)))</f>
        <v/>
      </c>
      <c r="G100" s="12" t="str">
        <f>IF(A99=$D$8,SUM($G$35:G99),IF(A99&gt;$D$8,"",E99*D100*$F$27/IF(OR(YEAR(C100)=2020,YEAR(C100)=2024),366,365)))</f>
        <v/>
      </c>
      <c r="H100" s="12" t="str">
        <f>IF(A99=$D$8,SUM($H$35:H99),IF(A99="","",(G100+F100)))</f>
        <v/>
      </c>
      <c r="I100" s="12"/>
      <c r="J100" s="12"/>
      <c r="K100" s="12"/>
      <c r="L100" s="12"/>
      <c r="M100" s="12" t="str">
        <f t="shared" si="24"/>
        <v/>
      </c>
      <c r="N100" s="12"/>
      <c r="O100" s="12"/>
      <c r="P100" s="12"/>
      <c r="Q100" s="51" t="str">
        <f>IF(A99=$D$8,XIRR(H$34:H99,C$34:C99),"")</f>
        <v/>
      </c>
      <c r="R100" s="12" t="str">
        <f t="shared" si="25"/>
        <v/>
      </c>
    </row>
    <row r="101" spans="1:18" x14ac:dyDescent="0.35">
      <c r="A101" s="10" t="str">
        <f t="shared" ref="A101:A122" si="26">IF(A100&lt;$D$8,A100+1,"")</f>
        <v/>
      </c>
      <c r="B101" s="49">
        <f ca="1">EDATE($B$34,67)</f>
        <v>46266</v>
      </c>
      <c r="C101" s="11" t="str">
        <f t="shared" ca="1" si="23"/>
        <v/>
      </c>
      <c r="D101" s="10" t="str">
        <f t="shared" si="15"/>
        <v/>
      </c>
      <c r="E101" s="12" t="str">
        <f t="shared" si="14"/>
        <v/>
      </c>
      <c r="F101" s="12" t="str">
        <f>IF(AND(A100="",A102=""),"",IF(A101="",SUM($F$35:F100),IF(A101=$D$8,$E$34-SUM($F$35:F100),$F$30-G101)))</f>
        <v/>
      </c>
      <c r="G101" s="12" t="str">
        <f>IF(A100=$D$8,SUM($G$35:G100),IF(A100&gt;$D$8,"",E100*D101*$F$27/IF(OR(YEAR(C101)=2020,YEAR(C101)=2024),366,365)))</f>
        <v/>
      </c>
      <c r="H101" s="12" t="str">
        <f>IF(A100=$D$8,SUM($H$35:H100),IF(A100="","",(G101+F101)))</f>
        <v/>
      </c>
      <c r="I101" s="12"/>
      <c r="J101" s="12"/>
      <c r="K101" s="12"/>
      <c r="L101" s="12"/>
      <c r="M101" s="12" t="str">
        <f t="shared" si="24"/>
        <v/>
      </c>
      <c r="N101" s="12"/>
      <c r="O101" s="12"/>
      <c r="P101" s="12"/>
      <c r="Q101" s="51" t="str">
        <f>IF(A100=$D$8,XIRR(H$34:H100,C$34:C100),"")</f>
        <v/>
      </c>
      <c r="R101" s="12" t="str">
        <f t="shared" si="25"/>
        <v/>
      </c>
    </row>
    <row r="102" spans="1:18" x14ac:dyDescent="0.35">
      <c r="A102" s="10" t="str">
        <f t="shared" si="26"/>
        <v/>
      </c>
      <c r="B102" s="49">
        <f ca="1">EDATE($B$34,68)</f>
        <v>46296</v>
      </c>
      <c r="C102" s="11" t="str">
        <f t="shared" ca="1" si="23"/>
        <v/>
      </c>
      <c r="D102" s="10" t="str">
        <f t="shared" si="15"/>
        <v/>
      </c>
      <c r="E102" s="12" t="str">
        <f t="shared" si="14"/>
        <v/>
      </c>
      <c r="F102" s="12" t="str">
        <f>IF(AND(A101="",A103=""),"",IF(A102="",SUM($F$35:F101),IF(A102=$D$8,$E$34-SUM($F$35:F101),$F$30-G102)))</f>
        <v/>
      </c>
      <c r="G102" s="12" t="str">
        <f>IF(A101=$D$8,SUM($G$35:G101),IF(A101&gt;$D$8,"",E101*D102*$F$27/IF(OR(YEAR(C102)=2020,YEAR(C102)=2024),366,365)))</f>
        <v/>
      </c>
      <c r="H102" s="12" t="str">
        <f>IF(A101=$D$8,SUM($H$35:H101),IF(A101="","",(G102+F102)))</f>
        <v/>
      </c>
      <c r="I102" s="12"/>
      <c r="J102" s="12"/>
      <c r="K102" s="12"/>
      <c r="L102" s="12"/>
      <c r="M102" s="12" t="str">
        <f t="shared" si="24"/>
        <v/>
      </c>
      <c r="N102" s="12"/>
      <c r="O102" s="12"/>
      <c r="P102" s="12"/>
      <c r="Q102" s="51" t="str">
        <f>IF(A101=$D$8,XIRR(H$34:H101,C$34:C101),"")</f>
        <v/>
      </c>
      <c r="R102" s="12" t="str">
        <f t="shared" si="25"/>
        <v/>
      </c>
    </row>
    <row r="103" spans="1:18" x14ac:dyDescent="0.35">
      <c r="A103" s="10" t="str">
        <f t="shared" si="26"/>
        <v/>
      </c>
      <c r="B103" s="49">
        <f ca="1">EDATE($B$34,69)</f>
        <v>46327</v>
      </c>
      <c r="C103" s="11" t="str">
        <f t="shared" ca="1" si="23"/>
        <v/>
      </c>
      <c r="D103" s="10" t="str">
        <f t="shared" si="15"/>
        <v/>
      </c>
      <c r="E103" s="12" t="str">
        <f t="shared" si="14"/>
        <v/>
      </c>
      <c r="F103" s="12" t="str">
        <f>IF(AND(A102="",A104=""),"",IF(A103="",SUM($F$35:F102),IF(A103=$D$8,$E$34-SUM($F$35:F102),$F$30-G103)))</f>
        <v/>
      </c>
      <c r="G103" s="12" t="str">
        <f>IF(A102=$D$8,SUM($G$35:G102),IF(A102&gt;$D$8,"",E102*D103*$F$27/IF(OR(YEAR(C103)=2020,YEAR(C103)=2024),366,365)))</f>
        <v/>
      </c>
      <c r="H103" s="12" t="str">
        <f>IF(A102=$D$8,SUM($H$35:H102),IF(A102="","",(G103+F103)))</f>
        <v/>
      </c>
      <c r="I103" s="12"/>
      <c r="J103" s="12"/>
      <c r="K103" s="12"/>
      <c r="L103" s="12"/>
      <c r="M103" s="12" t="str">
        <f t="shared" si="24"/>
        <v/>
      </c>
      <c r="N103" s="12"/>
      <c r="O103" s="12"/>
      <c r="P103" s="12"/>
      <c r="Q103" s="51" t="str">
        <f>IF(A102=$D$8,XIRR(H$34:H102,C$34:C102),"")</f>
        <v/>
      </c>
      <c r="R103" s="12" t="str">
        <f t="shared" si="25"/>
        <v/>
      </c>
    </row>
    <row r="104" spans="1:18" x14ac:dyDescent="0.35">
      <c r="A104" s="10" t="str">
        <f t="shared" si="26"/>
        <v/>
      </c>
      <c r="B104" s="49">
        <f ca="1">EDATE($B$34,70)</f>
        <v>46357</v>
      </c>
      <c r="C104" s="11" t="str">
        <f t="shared" ca="1" si="23"/>
        <v/>
      </c>
      <c r="D104" s="10" t="str">
        <f t="shared" si="15"/>
        <v/>
      </c>
      <c r="E104" s="12" t="str">
        <f t="shared" si="14"/>
        <v/>
      </c>
      <c r="F104" s="12" t="str">
        <f>IF(AND(A103="",A105=""),"",IF(A104="",SUM($F$35:F103),IF(A104=$D$8,$E$34-SUM($F$35:F103),$F$30-G104)))</f>
        <v/>
      </c>
      <c r="G104" s="12" t="str">
        <f>IF(A103=$D$8,SUM($G$35:G103),IF(A103&gt;$D$8,"",E103*D104*$F$27/IF(OR(YEAR(C104)=2020,YEAR(C104)=2024),366,365)))</f>
        <v/>
      </c>
      <c r="H104" s="12" t="str">
        <f>IF(A103=$D$8,SUM($H$35:H103),IF(A103="","",(G104+F104)))</f>
        <v/>
      </c>
      <c r="I104" s="12"/>
      <c r="J104" s="12"/>
      <c r="K104" s="12"/>
      <c r="L104" s="12"/>
      <c r="M104" s="12" t="str">
        <f t="shared" si="24"/>
        <v/>
      </c>
      <c r="N104" s="12"/>
      <c r="O104" s="12"/>
      <c r="P104" s="12"/>
      <c r="Q104" s="51" t="str">
        <f>IF(A103=$D$8,XIRR(H$34:H103,C$34:C103),"")</f>
        <v/>
      </c>
      <c r="R104" s="12" t="str">
        <f t="shared" si="25"/>
        <v/>
      </c>
    </row>
    <row r="105" spans="1:18" x14ac:dyDescent="0.35">
      <c r="A105" s="10" t="str">
        <f t="shared" si="26"/>
        <v/>
      </c>
      <c r="B105" s="49">
        <f ca="1">EDATE($B$34,71)</f>
        <v>46388</v>
      </c>
      <c r="C105" s="11" t="str">
        <f t="shared" ca="1" si="23"/>
        <v/>
      </c>
      <c r="D105" s="10" t="str">
        <f t="shared" si="15"/>
        <v/>
      </c>
      <c r="E105" s="12" t="str">
        <f t="shared" si="14"/>
        <v/>
      </c>
      <c r="F105" s="12" t="str">
        <f>IF(AND(A104="",A106=""),"",IF(A105="",SUM($F$35:F104),IF(A105=$D$8,$E$34-SUM($F$35:F104),$F$30-G105)))</f>
        <v/>
      </c>
      <c r="G105" s="12" t="str">
        <f>IF(A104=$D$8,SUM($G$35:G104),IF(A104&gt;$D$8,"",E104*D105*$F$27/IF(OR(YEAR(C105)=2020,YEAR(C105)=2024),366,365)))</f>
        <v/>
      </c>
      <c r="H105" s="12" t="str">
        <f>IF(A104=$D$8,SUM($H$35:H104),IF(A104="","",(G105+F105)))</f>
        <v/>
      </c>
      <c r="I105" s="12"/>
      <c r="J105" s="12"/>
      <c r="K105" s="12"/>
      <c r="L105" s="12"/>
      <c r="M105" s="12" t="str">
        <f t="shared" si="24"/>
        <v/>
      </c>
      <c r="N105" s="12"/>
      <c r="O105" s="12"/>
      <c r="P105" s="12"/>
      <c r="Q105" s="51" t="str">
        <f>IF(A104=$D$8,XIRR(H$34:H104,C$34:C104),"")</f>
        <v/>
      </c>
      <c r="R105" s="12" t="str">
        <f t="shared" si="25"/>
        <v/>
      </c>
    </row>
    <row r="106" spans="1:18" x14ac:dyDescent="0.35">
      <c r="A106" s="10" t="str">
        <f t="shared" si="26"/>
        <v/>
      </c>
      <c r="B106" s="49">
        <f ca="1">EDATE($B$34,72)</f>
        <v>46419</v>
      </c>
      <c r="C106" s="11" t="str">
        <f t="shared" ca="1" si="23"/>
        <v/>
      </c>
      <c r="D106" s="10" t="str">
        <f t="shared" si="15"/>
        <v/>
      </c>
      <c r="E106" s="12" t="str">
        <f t="shared" si="14"/>
        <v/>
      </c>
      <c r="F106" s="12" t="str">
        <f>IF(AND(A105="",A107=""),"",IF(A106="",SUM($F$35:F105),IF(A106=$D$8,$E$34-SUM($F$35:F105),$F$30-G106)))</f>
        <v/>
      </c>
      <c r="G106" s="12" t="str">
        <f>IF(A105=$D$8,SUM($G$35:G105),IF(A105&gt;$D$8,"",E105*D106*$F$27/IF(OR(YEAR(C106)=2020,YEAR(C106)=2024),366,365)))</f>
        <v/>
      </c>
      <c r="H106" s="12" t="str">
        <f>IF(A105=$D$8,SUM($H$35:H105),IF(A105="","",(G106+F106)))</f>
        <v/>
      </c>
      <c r="I106" s="12"/>
      <c r="J106" s="12"/>
      <c r="K106" s="12"/>
      <c r="L106" s="12"/>
      <c r="M106" s="12" t="str">
        <f t="shared" si="24"/>
        <v/>
      </c>
      <c r="N106" s="12"/>
      <c r="O106" s="12"/>
      <c r="P106" s="12"/>
      <c r="Q106" s="51" t="str">
        <f>IF(A105=$D$8,XIRR(H$34:H105,C$34:C105),"")</f>
        <v/>
      </c>
      <c r="R106" s="12" t="str">
        <f t="shared" si="25"/>
        <v/>
      </c>
    </row>
    <row r="107" spans="1:18" x14ac:dyDescent="0.35">
      <c r="A107" s="10" t="str">
        <f t="shared" si="26"/>
        <v/>
      </c>
      <c r="B107" s="49">
        <f ca="1">EDATE($B$34,73)</f>
        <v>46447</v>
      </c>
      <c r="C107" s="11" t="str">
        <f t="shared" ca="1" si="23"/>
        <v/>
      </c>
      <c r="D107" s="10" t="str">
        <f t="shared" si="15"/>
        <v/>
      </c>
      <c r="E107" s="12" t="str">
        <f t="shared" si="14"/>
        <v/>
      </c>
      <c r="F107" s="12" t="str">
        <f>IF(AND(A106="",A108=""),"",IF(A107="",SUM($F$35:F106),IF(A107=$D$8,$E$34-SUM($F$35:F106),$F$30-G107)))</f>
        <v/>
      </c>
      <c r="G107" s="12" t="str">
        <f>IF(A106=$D$8,SUM($G$35:G106),IF(A106&gt;$D$8,"",E106*D107*$F$27/IF(OR(YEAR(C107)=2020,YEAR(C107)=2024),366,365)))</f>
        <v/>
      </c>
      <c r="H107" s="12" t="str">
        <f>IF(A106=$D$8,SUM($H$35:H106),IF(A106="","",(G107+F107)))</f>
        <v/>
      </c>
      <c r="I107" s="12"/>
      <c r="J107" s="12"/>
      <c r="K107" s="12"/>
      <c r="L107" s="12"/>
      <c r="M107" s="12" t="str">
        <f t="shared" si="24"/>
        <v/>
      </c>
      <c r="N107" s="12"/>
      <c r="O107" s="12"/>
      <c r="P107" s="12"/>
      <c r="Q107" s="51" t="str">
        <f>IF(A106=$D$8,XIRR(H$34:H106,C$34:C106),"")</f>
        <v/>
      </c>
      <c r="R107" s="12" t="str">
        <f t="shared" si="25"/>
        <v/>
      </c>
    </row>
    <row r="108" spans="1:18" x14ac:dyDescent="0.35">
      <c r="A108" s="10" t="str">
        <f t="shared" si="26"/>
        <v/>
      </c>
      <c r="B108" s="49">
        <f ca="1">EDATE($B$34,74)</f>
        <v>46478</v>
      </c>
      <c r="C108" s="11" t="str">
        <f t="shared" ca="1" si="23"/>
        <v/>
      </c>
      <c r="D108" s="10" t="str">
        <f t="shared" si="15"/>
        <v/>
      </c>
      <c r="E108" s="12" t="str">
        <f t="shared" si="14"/>
        <v/>
      </c>
      <c r="F108" s="12" t="str">
        <f>IF(AND(A107="",A109=""),"",IF(A108="",SUM($F$35:F107),IF(A108=$D$8,$E$34-SUM($F$35:F107),$F$30-G108)))</f>
        <v/>
      </c>
      <c r="G108" s="12" t="str">
        <f>IF(A107=$D$8,SUM($G$35:G107),IF(A107&gt;$D$8,"",E107*D108*$F$27/IF(OR(YEAR(C108)=2020,YEAR(C108)=2024),366,365)))</f>
        <v/>
      </c>
      <c r="H108" s="12" t="str">
        <f>IF(A107=$D$8,SUM($H$35:H107),IF(A107="","",(G108+F108)))</f>
        <v/>
      </c>
      <c r="I108" s="12"/>
      <c r="J108" s="12"/>
      <c r="K108" s="12"/>
      <c r="L108" s="12"/>
      <c r="M108" s="12" t="str">
        <f t="shared" si="24"/>
        <v/>
      </c>
      <c r="N108" s="12"/>
      <c r="O108" s="12"/>
      <c r="P108" s="12"/>
      <c r="Q108" s="51" t="str">
        <f>IF(A107=$D$8,XIRR(H$34:H107,C$34:C107),"")</f>
        <v/>
      </c>
      <c r="R108" s="12" t="str">
        <f t="shared" si="25"/>
        <v/>
      </c>
    </row>
    <row r="109" spans="1:18" x14ac:dyDescent="0.35">
      <c r="A109" s="10" t="str">
        <f t="shared" si="26"/>
        <v/>
      </c>
      <c r="B109" s="49">
        <f ca="1">EDATE($B$34,75)</f>
        <v>46508</v>
      </c>
      <c r="C109" s="11" t="str">
        <f t="shared" ca="1" si="23"/>
        <v/>
      </c>
      <c r="D109" s="10" t="str">
        <f t="shared" si="15"/>
        <v/>
      </c>
      <c r="E109" s="12" t="str">
        <f t="shared" si="14"/>
        <v/>
      </c>
      <c r="F109" s="12" t="str">
        <f>IF(AND(A108="",A110=""),"",IF(A109="",SUM($F$35:F108),IF(A109=$D$8,$E$34-SUM($F$35:F108),$F$30-G109)))</f>
        <v/>
      </c>
      <c r="G109" s="12" t="str">
        <f>IF(A108=$D$8,SUM($G$35:G108),IF(A108&gt;$D$8,"",E108*D109*$F$27/IF(OR(YEAR(C109)=2020,YEAR(C109)=2024),366,365)))</f>
        <v/>
      </c>
      <c r="H109" s="12" t="str">
        <f>IF(A108=$D$8,SUM($H$35:H108),IF(A108="","",(G109+F109)))</f>
        <v/>
      </c>
      <c r="I109" s="12"/>
      <c r="J109" s="12"/>
      <c r="K109" s="12"/>
      <c r="L109" s="12"/>
      <c r="M109" s="12" t="str">
        <f t="shared" si="24"/>
        <v/>
      </c>
      <c r="N109" s="12"/>
      <c r="O109" s="12"/>
      <c r="P109" s="12"/>
      <c r="Q109" s="51" t="str">
        <f>IF(A108=$D$8,XIRR(H$34:H108,C$34:C108),"")</f>
        <v/>
      </c>
      <c r="R109" s="12" t="str">
        <f t="shared" si="25"/>
        <v/>
      </c>
    </row>
    <row r="110" spans="1:18" x14ac:dyDescent="0.35">
      <c r="A110" s="10" t="str">
        <f t="shared" si="26"/>
        <v/>
      </c>
      <c r="B110" s="49">
        <f ca="1">EDATE($B$34,76)</f>
        <v>46539</v>
      </c>
      <c r="C110" s="11" t="str">
        <f t="shared" ca="1" si="23"/>
        <v/>
      </c>
      <c r="D110" s="10" t="str">
        <f t="shared" si="15"/>
        <v/>
      </c>
      <c r="E110" s="12" t="str">
        <f t="shared" si="14"/>
        <v/>
      </c>
      <c r="F110" s="12" t="str">
        <f>IF(AND(A109="",A111=""),"",IF(A110="",SUM($F$35:F109),IF(A110=$D$8,$E$34-SUM($F$35:F109),$F$30-G110)))</f>
        <v/>
      </c>
      <c r="G110" s="12" t="str">
        <f>IF(A109=$D$8,SUM($G$35:G109),IF(A109&gt;$D$8,"",E109*D110*$F$27/IF(OR(YEAR(C110)=2020,YEAR(C110)=2024),366,365)))</f>
        <v/>
      </c>
      <c r="H110" s="12" t="str">
        <f>IF(A109=$D$8,SUM($H$35:H109),IF(A109="","",(G110+F110)))</f>
        <v/>
      </c>
      <c r="I110" s="12"/>
      <c r="J110" s="12"/>
      <c r="K110" s="12"/>
      <c r="L110" s="12"/>
      <c r="M110" s="12" t="str">
        <f t="shared" si="24"/>
        <v/>
      </c>
      <c r="N110" s="12"/>
      <c r="O110" s="12"/>
      <c r="P110" s="12"/>
      <c r="Q110" s="51" t="str">
        <f>IF(A109=$D$8,XIRR(H$34:H109,C$34:C109),"")</f>
        <v/>
      </c>
      <c r="R110" s="12" t="str">
        <f t="shared" si="25"/>
        <v/>
      </c>
    </row>
    <row r="111" spans="1:18" x14ac:dyDescent="0.35">
      <c r="A111" s="10" t="str">
        <f t="shared" si="26"/>
        <v/>
      </c>
      <c r="B111" s="49">
        <f ca="1">EDATE($B$34,77)</f>
        <v>46569</v>
      </c>
      <c r="C111" s="11" t="str">
        <f t="shared" ca="1" si="23"/>
        <v/>
      </c>
      <c r="D111" s="10" t="str">
        <f t="shared" si="15"/>
        <v/>
      </c>
      <c r="E111" s="12" t="str">
        <f t="shared" ref="E111:E118" si="27">IF(A111&gt;$D$8,"",E110-F111)</f>
        <v/>
      </c>
      <c r="F111" s="12" t="str">
        <f>IF(AND(A110="",A112=""),"",IF(A111="",SUM($F$35:F110),IF(A111=$D$8,$E$34-SUM($F$35:F110),$F$30-G111)))</f>
        <v/>
      </c>
      <c r="G111" s="12" t="str">
        <f>IF(A110=$D$8,SUM($G$35:G110),IF(A110&gt;$D$8,"",E110*D111*$F$27/IF(OR(YEAR(C111)=2020,YEAR(C111)=2024),366,365)))</f>
        <v/>
      </c>
      <c r="H111" s="12" t="str">
        <f>IF(A110=$D$8,SUM($H$35:H110),IF(A110="","",(G111+F111)))</f>
        <v/>
      </c>
      <c r="I111" s="12"/>
      <c r="J111" s="12"/>
      <c r="K111" s="12"/>
      <c r="L111" s="12"/>
      <c r="M111" s="12" t="str">
        <f t="shared" si="24"/>
        <v/>
      </c>
      <c r="N111" s="12"/>
      <c r="O111" s="12"/>
      <c r="P111" s="12"/>
      <c r="Q111" s="51" t="str">
        <f>IF(A110=$D$8,XIRR(H$34:H110,C$34:C110),"")</f>
        <v/>
      </c>
      <c r="R111" s="12" t="str">
        <f t="shared" si="25"/>
        <v/>
      </c>
    </row>
    <row r="112" spans="1:18" x14ac:dyDescent="0.35">
      <c r="A112" s="10" t="str">
        <f t="shared" si="26"/>
        <v/>
      </c>
      <c r="B112" s="49">
        <f ca="1">EDATE($B$34,78)</f>
        <v>46600</v>
      </c>
      <c r="C112" s="11" t="str">
        <f t="shared" ca="1" si="23"/>
        <v/>
      </c>
      <c r="D112" s="10" t="str">
        <f t="shared" ref="D112:D118" si="28">IF(A112&gt;$D$8,"",C112-C111)</f>
        <v/>
      </c>
      <c r="E112" s="12" t="str">
        <f t="shared" si="27"/>
        <v/>
      </c>
      <c r="F112" s="12" t="str">
        <f>IF(AND(A111="",A113=""),"",IF(A112="",SUM($F$35:F111),IF(A112=$D$8,$E$34-SUM($F$35:F111),$F$30-G112)))</f>
        <v/>
      </c>
      <c r="G112" s="12" t="str">
        <f>IF(A111=$D$8,SUM($G$35:G111),IF(A111&gt;$D$8,"",E111*D112*$F$27/IF(OR(YEAR(C112)=2020,YEAR(C112)=2024),366,365)))</f>
        <v/>
      </c>
      <c r="H112" s="12" t="str">
        <f>IF(A111=$D$8,SUM($H$35:H111),IF(A111="","",(G112+F112)))</f>
        <v/>
      </c>
      <c r="I112" s="12"/>
      <c r="J112" s="12"/>
      <c r="K112" s="12"/>
      <c r="L112" s="12"/>
      <c r="M112" s="12" t="str">
        <f t="shared" ref="M112:M143" si="29">IF(A111=$F$8,$M$34,"")</f>
        <v/>
      </c>
      <c r="N112" s="12"/>
      <c r="O112" s="12"/>
      <c r="P112" s="12"/>
      <c r="Q112" s="51" t="str">
        <f>IF(A111=$D$8,XIRR(H$34:H111,C$34:C111),"")</f>
        <v/>
      </c>
      <c r="R112" s="12" t="str">
        <f t="shared" si="25"/>
        <v/>
      </c>
    </row>
    <row r="113" spans="1:18" x14ac:dyDescent="0.35">
      <c r="A113" s="10" t="str">
        <f t="shared" si="26"/>
        <v/>
      </c>
      <c r="B113" s="49">
        <f ca="1">EDATE($B$34,79)</f>
        <v>46631</v>
      </c>
      <c r="C113" s="11" t="str">
        <f t="shared" ca="1" si="23"/>
        <v/>
      </c>
      <c r="D113" s="10" t="str">
        <f t="shared" si="28"/>
        <v/>
      </c>
      <c r="E113" s="12" t="str">
        <f t="shared" si="27"/>
        <v/>
      </c>
      <c r="F113" s="12" t="str">
        <f>IF(AND(A112="",A114=""),"",IF(A113="",SUM($F$35:F112),IF(A113=$D$8,$E$34-SUM($F$35:F112),$F$30-G113)))</f>
        <v/>
      </c>
      <c r="G113" s="12" t="str">
        <f>IF(A112=$D$8,SUM($G$35:G112),IF(A112&gt;$D$8,"",E112*D113*$F$27/IF(OR(YEAR(C113)=2020,YEAR(C113)=2024),366,365)))</f>
        <v/>
      </c>
      <c r="H113" s="12" t="str">
        <f>IF(A112=$D$8,SUM($H$35:H112),IF(A112="","",(G113+F113)))</f>
        <v/>
      </c>
      <c r="I113" s="12"/>
      <c r="J113" s="12"/>
      <c r="K113" s="12"/>
      <c r="L113" s="12"/>
      <c r="M113" s="12" t="str">
        <f t="shared" si="29"/>
        <v/>
      </c>
      <c r="N113" s="12"/>
      <c r="O113" s="12"/>
      <c r="P113" s="12"/>
      <c r="Q113" s="51" t="str">
        <f>IF(A112=$D$8,XIRR(H$34:H112,C$34:C112),"")</f>
        <v/>
      </c>
      <c r="R113" s="12" t="str">
        <f t="shared" si="25"/>
        <v/>
      </c>
    </row>
    <row r="114" spans="1:18" x14ac:dyDescent="0.35">
      <c r="A114" s="10" t="str">
        <f t="shared" si="26"/>
        <v/>
      </c>
      <c r="B114" s="49">
        <f ca="1">EDATE($B$34,80)</f>
        <v>46661</v>
      </c>
      <c r="C114" s="11" t="str">
        <f t="shared" ca="1" si="23"/>
        <v/>
      </c>
      <c r="D114" s="10" t="str">
        <f t="shared" si="28"/>
        <v/>
      </c>
      <c r="E114" s="12" t="str">
        <f t="shared" si="27"/>
        <v/>
      </c>
      <c r="F114" s="12" t="str">
        <f>IF(AND(A113="",A115=""),"",IF(A114="",SUM($F$35:F113),IF(A114=$D$8,$E$34-SUM($F$35:F113),$F$30-G114)))</f>
        <v/>
      </c>
      <c r="G114" s="12" t="str">
        <f>IF(A113=$D$8,SUM($G$35:G113),IF(A113&gt;$D$8,"",E113*D114*$F$27/IF(OR(YEAR(C114)=2020,YEAR(C114)=2024),366,365)))</f>
        <v/>
      </c>
      <c r="H114" s="12" t="str">
        <f>IF(A113=$D$8,SUM($H$35:H113),IF(A113="","",(G114+F114)))</f>
        <v/>
      </c>
      <c r="I114" s="12"/>
      <c r="J114" s="12"/>
      <c r="K114" s="12"/>
      <c r="L114" s="12"/>
      <c r="M114" s="12" t="str">
        <f t="shared" si="29"/>
        <v/>
      </c>
      <c r="N114" s="12"/>
      <c r="O114" s="12"/>
      <c r="P114" s="12"/>
      <c r="Q114" s="51" t="str">
        <f>IF(A113=$D$8,XIRR(H$34:H113,C$34:C113),"")</f>
        <v/>
      </c>
      <c r="R114" s="12" t="str">
        <f t="shared" si="25"/>
        <v/>
      </c>
    </row>
    <row r="115" spans="1:18" x14ac:dyDescent="0.35">
      <c r="A115" s="10" t="str">
        <f t="shared" si="26"/>
        <v/>
      </c>
      <c r="B115" s="49">
        <f ca="1">EDATE($B$34,81)</f>
        <v>46692</v>
      </c>
      <c r="C115" s="11" t="str">
        <f t="shared" ca="1" si="23"/>
        <v/>
      </c>
      <c r="D115" s="10" t="str">
        <f t="shared" si="28"/>
        <v/>
      </c>
      <c r="E115" s="12" t="str">
        <f t="shared" si="27"/>
        <v/>
      </c>
      <c r="F115" s="12" t="str">
        <f>IF(AND(A114="",A116=""),"",IF(A115="",SUM($F$35:F114),IF(A115=$D$8,$E$34-SUM($F$35:F114),$F$30-G115)))</f>
        <v/>
      </c>
      <c r="G115" s="12" t="str">
        <f>IF(A114=$D$8,SUM($G$35:G114),IF(A114&gt;$D$8,"",E114*D115*$F$27/IF(OR(YEAR(C115)=2020,YEAR(C115)=2024),366,365)))</f>
        <v/>
      </c>
      <c r="H115" s="12" t="str">
        <f>IF(A114=$D$8,SUM($H$35:H114),IF(A114="","",(G115+F115)))</f>
        <v/>
      </c>
      <c r="I115" s="12"/>
      <c r="J115" s="12"/>
      <c r="K115" s="12"/>
      <c r="L115" s="12"/>
      <c r="M115" s="12" t="str">
        <f t="shared" si="29"/>
        <v/>
      </c>
      <c r="N115" s="12"/>
      <c r="O115" s="12"/>
      <c r="P115" s="12"/>
      <c r="Q115" s="51" t="str">
        <f>IF(A114=$D$8,XIRR(H$34:H114,C$34:C114),"")</f>
        <v/>
      </c>
      <c r="R115" s="12" t="str">
        <f t="shared" si="25"/>
        <v/>
      </c>
    </row>
    <row r="116" spans="1:18" x14ac:dyDescent="0.35">
      <c r="A116" s="10" t="str">
        <f t="shared" si="26"/>
        <v/>
      </c>
      <c r="B116" s="49">
        <f ca="1">EDATE($B$34,82)</f>
        <v>46722</v>
      </c>
      <c r="C116" s="11" t="str">
        <f t="shared" ca="1" si="23"/>
        <v/>
      </c>
      <c r="D116" s="10" t="str">
        <f t="shared" si="28"/>
        <v/>
      </c>
      <c r="E116" s="12" t="str">
        <f t="shared" si="27"/>
        <v/>
      </c>
      <c r="F116" s="12" t="str">
        <f>IF(AND(A115="",A117=""),"",IF(A116="",SUM($F$35:F115),IF(A116=$D$8,$E$34-SUM($F$35:F115),$F$30-G116)))</f>
        <v/>
      </c>
      <c r="G116" s="12" t="str">
        <f>IF(A115=$D$8,SUM($G$35:G115),IF(A115&gt;$D$8,"",E115*D116*$F$27/IF(OR(YEAR(C116)=2020,YEAR(C116)=2024),366,365)))</f>
        <v/>
      </c>
      <c r="H116" s="12" t="str">
        <f>IF(A115=$D$8,SUM($H$35:H115),IF(A115="","",(G116+F116)))</f>
        <v/>
      </c>
      <c r="I116" s="12"/>
      <c r="J116" s="12"/>
      <c r="K116" s="12"/>
      <c r="L116" s="12"/>
      <c r="M116" s="12" t="str">
        <f t="shared" si="29"/>
        <v/>
      </c>
      <c r="N116" s="12"/>
      <c r="O116" s="12"/>
      <c r="P116" s="12"/>
      <c r="Q116" s="51" t="str">
        <f>IF(A115=$D$8,XIRR(H$34:H115,C$34:C115),"")</f>
        <v/>
      </c>
      <c r="R116" s="12" t="str">
        <f t="shared" si="25"/>
        <v/>
      </c>
    </row>
    <row r="117" spans="1:18" x14ac:dyDescent="0.35">
      <c r="A117" s="10" t="str">
        <f t="shared" si="26"/>
        <v/>
      </c>
      <c r="B117" s="49">
        <f ca="1">EDATE($B$34,83)</f>
        <v>46753</v>
      </c>
      <c r="C117" s="11" t="str">
        <f t="shared" ca="1" si="23"/>
        <v/>
      </c>
      <c r="D117" s="10" t="str">
        <f t="shared" si="28"/>
        <v/>
      </c>
      <c r="E117" s="12" t="str">
        <f t="shared" si="27"/>
        <v/>
      </c>
      <c r="F117" s="12" t="str">
        <f>IF(AND(A116="",A118=""),"",IF(A117="",SUM($F$35:F116),IF(A117=$D$8,$E$34-SUM($F$35:F116),$F$30-G117)))</f>
        <v/>
      </c>
      <c r="G117" s="12" t="str">
        <f>IF(A116=$D$8,SUM($G$35:G116),IF(A116&gt;$D$8,"",E116*D117*$F$27/IF(OR(YEAR(C117)=2020,YEAR(C117)=2024),366,365)))</f>
        <v/>
      </c>
      <c r="H117" s="12" t="str">
        <f>IF(A116=$D$8,SUM($H$35:H116),IF(A116="","",(G117+F117)))</f>
        <v/>
      </c>
      <c r="I117" s="12"/>
      <c r="J117" s="12"/>
      <c r="K117" s="12"/>
      <c r="L117" s="12"/>
      <c r="M117" s="12" t="str">
        <f t="shared" si="29"/>
        <v/>
      </c>
      <c r="N117" s="12"/>
      <c r="O117" s="12"/>
      <c r="P117" s="12"/>
      <c r="Q117" s="51" t="str">
        <f>IF(A116=$D$8,XIRR(H$34:H116,C$34:C116),"")</f>
        <v/>
      </c>
      <c r="R117" s="12" t="str">
        <f t="shared" si="25"/>
        <v/>
      </c>
    </row>
    <row r="118" spans="1:18" x14ac:dyDescent="0.35">
      <c r="A118" s="10" t="str">
        <f t="shared" si="26"/>
        <v/>
      </c>
      <c r="B118" s="49">
        <f ca="1">EDATE($B$34,84)</f>
        <v>46784</v>
      </c>
      <c r="C118" s="11" t="str">
        <f t="shared" ca="1" si="23"/>
        <v/>
      </c>
      <c r="D118" s="10" t="str">
        <f t="shared" si="28"/>
        <v/>
      </c>
      <c r="E118" s="12" t="str">
        <f t="shared" si="27"/>
        <v/>
      </c>
      <c r="F118" s="12" t="str">
        <f>IF(AND(A117="",A119=""),"",IF(A118="",SUM($F$35:F117),IF(A118=$D$8,$E$34-SUM($F$35:F117),$F$30-G118)))</f>
        <v/>
      </c>
      <c r="G118" s="12" t="str">
        <f>IF(A117=$D$8,SUM($G$35:G117),IF(A117&gt;$D$8,"",E117*D118*$F$27/IF(OR(YEAR(C118)=2020,YEAR(C118)=2024),366,365)))</f>
        <v/>
      </c>
      <c r="H118" s="12" t="str">
        <f>IF(A117=$D$8,SUM($H$35:H117),IF(A117="","",(G118+F118)))</f>
        <v/>
      </c>
      <c r="I118" s="12"/>
      <c r="J118" s="12"/>
      <c r="K118" s="12"/>
      <c r="L118" s="12"/>
      <c r="M118" s="12" t="str">
        <f t="shared" si="29"/>
        <v/>
      </c>
      <c r="N118" s="12"/>
      <c r="O118" s="12"/>
      <c r="P118" s="12"/>
      <c r="Q118" s="51" t="str">
        <f>IF(A117=$D$8,XIRR(H$34:H117,C$34:C117),"")</f>
        <v/>
      </c>
      <c r="R118" s="12" t="str">
        <f t="shared" si="25"/>
        <v/>
      </c>
    </row>
    <row r="119" spans="1:18" x14ac:dyDescent="0.35">
      <c r="A119" s="10" t="str">
        <f t="shared" si="26"/>
        <v/>
      </c>
      <c r="F119" s="12" t="str">
        <f>IF(AND(A118="",A120=""),"",IF(A119="",SUM($F$35:F118),IF(A119=$D$8,$E$34-SUM($F$35:F118),$F$28-G119)))</f>
        <v/>
      </c>
      <c r="G119" s="12" t="str">
        <f>IF(A118=$D$8,SUM($G$35:G118),IF(A118&gt;$D$8,"",E118*D119*$D$9/IF(OR(YEAR(C119)=2020,YEAR(C119)=2024),366,365)))</f>
        <v/>
      </c>
      <c r="H119" s="12" t="str">
        <f>IF(A118=$D$8,SUM($H$35:H118),IF(A118="","",(G119+F119)))</f>
        <v/>
      </c>
      <c r="I119" s="12"/>
      <c r="J119" s="12"/>
      <c r="K119" s="12"/>
      <c r="L119" s="12"/>
      <c r="M119" s="12" t="str">
        <f t="shared" si="29"/>
        <v/>
      </c>
      <c r="N119" s="12"/>
      <c r="O119" s="12"/>
      <c r="P119" s="12"/>
      <c r="Q119" s="51" t="str">
        <f>IF(A118=$D$8,XIRR(H$34:H118,C$34:C118),"")</f>
        <v/>
      </c>
      <c r="R119" s="12" t="str">
        <f t="shared" si="25"/>
        <v/>
      </c>
    </row>
    <row r="120" spans="1:18" x14ac:dyDescent="0.35">
      <c r="A120" s="10" t="str">
        <f t="shared" si="26"/>
        <v/>
      </c>
      <c r="M120" s="12" t="str">
        <f t="shared" si="29"/>
        <v/>
      </c>
      <c r="N120" s="12"/>
      <c r="O120" s="12"/>
      <c r="P120" s="12"/>
    </row>
    <row r="121" spans="1:18" x14ac:dyDescent="0.35">
      <c r="A121" s="10" t="str">
        <f t="shared" si="26"/>
        <v/>
      </c>
      <c r="M121" s="12" t="str">
        <f t="shared" si="29"/>
        <v/>
      </c>
      <c r="N121" s="12"/>
      <c r="O121" s="12"/>
      <c r="P121" s="12"/>
    </row>
    <row r="122" spans="1:18" x14ac:dyDescent="0.35">
      <c r="A122" s="10" t="str">
        <f t="shared" si="26"/>
        <v/>
      </c>
      <c r="M122" s="12" t="str">
        <f t="shared" si="29"/>
        <v/>
      </c>
      <c r="N122" s="12"/>
      <c r="O122" s="12"/>
      <c r="P122" s="12"/>
    </row>
    <row r="123" spans="1:18" x14ac:dyDescent="0.35">
      <c r="M123" s="12" t="str">
        <f t="shared" si="29"/>
        <v/>
      </c>
      <c r="N123" s="12"/>
      <c r="O123" s="12"/>
      <c r="P123" s="12"/>
    </row>
    <row r="124" spans="1:18" x14ac:dyDescent="0.35">
      <c r="M124" s="12" t="str">
        <f t="shared" si="29"/>
        <v/>
      </c>
      <c r="N124" s="12"/>
      <c r="O124" s="12"/>
      <c r="P124" s="12"/>
    </row>
    <row r="125" spans="1:18" x14ac:dyDescent="0.35">
      <c r="M125" s="12" t="str">
        <f t="shared" si="29"/>
        <v/>
      </c>
      <c r="N125" s="12"/>
      <c r="O125" s="12"/>
      <c r="P125" s="12"/>
    </row>
    <row r="126" spans="1:18" x14ac:dyDescent="0.35">
      <c r="M126" s="12" t="str">
        <f t="shared" si="29"/>
        <v/>
      </c>
      <c r="N126" s="12"/>
      <c r="O126" s="12"/>
      <c r="P126" s="12"/>
    </row>
    <row r="127" spans="1:18" x14ac:dyDescent="0.35">
      <c r="M127" s="12" t="str">
        <f t="shared" si="29"/>
        <v/>
      </c>
      <c r="N127" s="12"/>
      <c r="O127" s="12"/>
      <c r="P127" s="12"/>
    </row>
    <row r="128" spans="1:18" x14ac:dyDescent="0.35">
      <c r="M128" s="12" t="str">
        <f t="shared" si="29"/>
        <v/>
      </c>
      <c r="N128" s="12"/>
      <c r="O128" s="12"/>
      <c r="P128" s="12"/>
    </row>
    <row r="129" spans="13:16" x14ac:dyDescent="0.35">
      <c r="M129" s="12" t="str">
        <f t="shared" si="29"/>
        <v/>
      </c>
      <c r="N129" s="12"/>
      <c r="O129" s="12"/>
      <c r="P129" s="12"/>
    </row>
    <row r="130" spans="13:16" x14ac:dyDescent="0.35">
      <c r="M130" s="12" t="str">
        <f t="shared" si="29"/>
        <v/>
      </c>
      <c r="N130" s="12"/>
      <c r="O130" s="12"/>
      <c r="P130" s="12"/>
    </row>
    <row r="131" spans="13:16" x14ac:dyDescent="0.35">
      <c r="M131" s="12" t="str">
        <f t="shared" si="29"/>
        <v/>
      </c>
      <c r="N131" s="12"/>
      <c r="O131" s="12"/>
      <c r="P131" s="12"/>
    </row>
    <row r="132" spans="13:16" x14ac:dyDescent="0.35">
      <c r="M132" s="12" t="str">
        <f t="shared" si="29"/>
        <v/>
      </c>
      <c r="N132" s="12"/>
      <c r="O132" s="12"/>
      <c r="P132" s="12"/>
    </row>
    <row r="133" spans="13:16" x14ac:dyDescent="0.35">
      <c r="M133" s="12" t="str">
        <f t="shared" si="29"/>
        <v/>
      </c>
      <c r="N133" s="12"/>
      <c r="O133" s="12"/>
      <c r="P133" s="12"/>
    </row>
    <row r="134" spans="13:16" x14ac:dyDescent="0.35">
      <c r="M134" s="12" t="str">
        <f t="shared" si="29"/>
        <v/>
      </c>
      <c r="N134" s="12"/>
      <c r="O134" s="12"/>
      <c r="P134" s="12"/>
    </row>
    <row r="135" spans="13:16" x14ac:dyDescent="0.35">
      <c r="M135" s="12" t="str">
        <f t="shared" si="29"/>
        <v/>
      </c>
      <c r="N135" s="12"/>
      <c r="O135" s="12"/>
      <c r="P135" s="12"/>
    </row>
    <row r="136" spans="13:16" x14ac:dyDescent="0.35">
      <c r="M136" s="12" t="str">
        <f t="shared" si="29"/>
        <v/>
      </c>
      <c r="N136" s="12"/>
      <c r="O136" s="12"/>
      <c r="P136" s="12"/>
    </row>
    <row r="137" spans="13:16" x14ac:dyDescent="0.35">
      <c r="M137" s="12" t="str">
        <f t="shared" si="29"/>
        <v/>
      </c>
      <c r="N137" s="12"/>
      <c r="O137" s="12"/>
      <c r="P137" s="12"/>
    </row>
    <row r="138" spans="13:16" x14ac:dyDescent="0.35">
      <c r="M138" s="12" t="str">
        <f t="shared" si="29"/>
        <v/>
      </c>
      <c r="N138" s="12"/>
      <c r="O138" s="12"/>
      <c r="P138" s="12"/>
    </row>
    <row r="139" spans="13:16" x14ac:dyDescent="0.35">
      <c r="M139" s="12" t="str">
        <f t="shared" si="29"/>
        <v/>
      </c>
      <c r="N139" s="12"/>
      <c r="O139" s="12"/>
      <c r="P139" s="12"/>
    </row>
    <row r="140" spans="13:16" x14ac:dyDescent="0.35">
      <c r="M140" s="12" t="str">
        <f t="shared" si="29"/>
        <v/>
      </c>
      <c r="N140" s="12"/>
      <c r="O140" s="12"/>
      <c r="P140" s="12"/>
    </row>
    <row r="141" spans="13:16" x14ac:dyDescent="0.35">
      <c r="M141" s="12" t="str">
        <f t="shared" si="29"/>
        <v/>
      </c>
      <c r="N141" s="12"/>
      <c r="O141" s="12"/>
      <c r="P141" s="12"/>
    </row>
    <row r="142" spans="13:16" x14ac:dyDescent="0.35">
      <c r="M142" s="12" t="str">
        <f t="shared" si="29"/>
        <v/>
      </c>
      <c r="N142" s="12"/>
      <c r="O142" s="12"/>
      <c r="P142" s="12"/>
    </row>
    <row r="143" spans="13:16" x14ac:dyDescent="0.35">
      <c r="M143" s="12" t="str">
        <f t="shared" si="29"/>
        <v/>
      </c>
      <c r="N143" s="12"/>
      <c r="O143" s="12"/>
      <c r="P143" s="12"/>
    </row>
    <row r="144" spans="13:16" x14ac:dyDescent="0.35">
      <c r="M144" s="12" t="str">
        <f t="shared" ref="M144:M166" si="30">IF(A143=$F$8,$M$34,"")</f>
        <v/>
      </c>
      <c r="N144" s="12"/>
      <c r="O144" s="12"/>
      <c r="P144" s="12"/>
    </row>
    <row r="145" spans="13:16" x14ac:dyDescent="0.35">
      <c r="M145" s="12" t="str">
        <f t="shared" si="30"/>
        <v/>
      </c>
      <c r="N145" s="12"/>
      <c r="O145" s="12"/>
      <c r="P145" s="12"/>
    </row>
    <row r="146" spans="13:16" x14ac:dyDescent="0.35">
      <c r="M146" s="12" t="str">
        <f t="shared" si="30"/>
        <v/>
      </c>
      <c r="N146" s="12"/>
      <c r="O146" s="12"/>
      <c r="P146" s="12"/>
    </row>
    <row r="147" spans="13:16" x14ac:dyDescent="0.35">
      <c r="M147" s="12" t="str">
        <f t="shared" si="30"/>
        <v/>
      </c>
      <c r="N147" s="12"/>
      <c r="O147" s="12"/>
      <c r="P147" s="12"/>
    </row>
    <row r="148" spans="13:16" x14ac:dyDescent="0.35">
      <c r="M148" s="12" t="str">
        <f t="shared" si="30"/>
        <v/>
      </c>
      <c r="N148" s="12"/>
      <c r="O148" s="12"/>
      <c r="P148" s="12"/>
    </row>
    <row r="149" spans="13:16" x14ac:dyDescent="0.35">
      <c r="M149" s="12" t="str">
        <f t="shared" si="30"/>
        <v/>
      </c>
      <c r="N149" s="12"/>
      <c r="O149" s="12"/>
      <c r="P149" s="12"/>
    </row>
    <row r="150" spans="13:16" x14ac:dyDescent="0.35">
      <c r="M150" s="12" t="str">
        <f t="shared" si="30"/>
        <v/>
      </c>
      <c r="N150" s="12"/>
      <c r="O150" s="12"/>
      <c r="P150" s="12"/>
    </row>
    <row r="151" spans="13:16" x14ac:dyDescent="0.35">
      <c r="M151" s="12" t="str">
        <f t="shared" si="30"/>
        <v/>
      </c>
      <c r="N151" s="12"/>
      <c r="O151" s="12"/>
      <c r="P151" s="12"/>
    </row>
    <row r="152" spans="13:16" x14ac:dyDescent="0.35">
      <c r="M152" s="12" t="str">
        <f t="shared" si="30"/>
        <v/>
      </c>
      <c r="N152" s="12"/>
      <c r="O152" s="12"/>
      <c r="P152" s="12"/>
    </row>
    <row r="153" spans="13:16" x14ac:dyDescent="0.35">
      <c r="M153" s="12" t="str">
        <f t="shared" si="30"/>
        <v/>
      </c>
      <c r="N153" s="12"/>
      <c r="O153" s="12"/>
      <c r="P153" s="12"/>
    </row>
    <row r="154" spans="13:16" x14ac:dyDescent="0.35">
      <c r="M154" s="12" t="str">
        <f t="shared" si="30"/>
        <v/>
      </c>
      <c r="N154" s="12"/>
      <c r="O154" s="12"/>
      <c r="P154" s="12"/>
    </row>
    <row r="155" spans="13:16" x14ac:dyDescent="0.35">
      <c r="M155" s="12" t="str">
        <f t="shared" si="30"/>
        <v/>
      </c>
      <c r="N155" s="12"/>
      <c r="O155" s="12"/>
      <c r="P155" s="12"/>
    </row>
    <row r="156" spans="13:16" x14ac:dyDescent="0.35">
      <c r="M156" s="12" t="str">
        <f t="shared" si="30"/>
        <v/>
      </c>
      <c r="N156" s="12"/>
      <c r="O156" s="12"/>
      <c r="P156" s="12"/>
    </row>
    <row r="157" spans="13:16" x14ac:dyDescent="0.35">
      <c r="M157" s="12" t="str">
        <f t="shared" si="30"/>
        <v/>
      </c>
      <c r="N157" s="12"/>
      <c r="O157" s="12"/>
      <c r="P157" s="12"/>
    </row>
    <row r="158" spans="13:16" x14ac:dyDescent="0.35">
      <c r="M158" s="12" t="str">
        <f t="shared" si="30"/>
        <v/>
      </c>
      <c r="N158" s="12"/>
      <c r="O158" s="12"/>
      <c r="P158" s="12"/>
    </row>
    <row r="159" spans="13:16" x14ac:dyDescent="0.35">
      <c r="M159" s="12" t="str">
        <f t="shared" si="30"/>
        <v/>
      </c>
      <c r="N159" s="12"/>
      <c r="O159" s="12"/>
      <c r="P159" s="12"/>
    </row>
    <row r="160" spans="13:16" x14ac:dyDescent="0.35">
      <c r="M160" s="12" t="str">
        <f t="shared" si="30"/>
        <v/>
      </c>
      <c r="N160" s="12"/>
      <c r="O160" s="12"/>
      <c r="P160" s="12"/>
    </row>
    <row r="161" spans="13:16" x14ac:dyDescent="0.35">
      <c r="M161" s="12" t="str">
        <f t="shared" si="30"/>
        <v/>
      </c>
      <c r="N161" s="12"/>
      <c r="O161" s="12"/>
      <c r="P161" s="12"/>
    </row>
    <row r="162" spans="13:16" x14ac:dyDescent="0.35">
      <c r="M162" s="12" t="str">
        <f t="shared" si="30"/>
        <v/>
      </c>
      <c r="N162" s="12"/>
      <c r="O162" s="12"/>
      <c r="P162" s="12"/>
    </row>
    <row r="163" spans="13:16" x14ac:dyDescent="0.35">
      <c r="M163" s="12" t="str">
        <f t="shared" si="30"/>
        <v/>
      </c>
      <c r="N163" s="12"/>
      <c r="O163" s="12"/>
      <c r="P163" s="12"/>
    </row>
    <row r="164" spans="13:16" x14ac:dyDescent="0.35">
      <c r="M164" s="12" t="str">
        <f t="shared" si="30"/>
        <v/>
      </c>
      <c r="N164" s="12"/>
      <c r="O164" s="12"/>
      <c r="P164" s="12"/>
    </row>
    <row r="165" spans="13:16" x14ac:dyDescent="0.35">
      <c r="M165" s="12" t="str">
        <f t="shared" si="30"/>
        <v/>
      </c>
      <c r="N165" s="12"/>
      <c r="O165" s="12"/>
      <c r="P165" s="12"/>
    </row>
    <row r="166" spans="13:16" x14ac:dyDescent="0.35">
      <c r="M166" s="12" t="str">
        <f t="shared" si="30"/>
        <v/>
      </c>
      <c r="N166" s="12"/>
      <c r="O166" s="12"/>
      <c r="P166" s="12"/>
    </row>
    <row r="167" spans="13:16" x14ac:dyDescent="0.35">
      <c r="M167" s="12" t="str">
        <f t="shared" ref="M167:M196" si="31">IF(A167=$F$8,$M$34,"")</f>
        <v/>
      </c>
      <c r="N167" s="12"/>
      <c r="O167" s="12"/>
      <c r="P167" s="12"/>
    </row>
    <row r="168" spans="13:16" x14ac:dyDescent="0.35">
      <c r="M168" s="12" t="str">
        <f t="shared" si="31"/>
        <v/>
      </c>
      <c r="N168" s="12"/>
      <c r="O168" s="12"/>
      <c r="P168" s="12"/>
    </row>
    <row r="169" spans="13:16" x14ac:dyDescent="0.35">
      <c r="M169" s="12" t="str">
        <f t="shared" si="31"/>
        <v/>
      </c>
      <c r="N169" s="12"/>
      <c r="O169" s="12"/>
      <c r="P169" s="12"/>
    </row>
    <row r="170" spans="13:16" x14ac:dyDescent="0.35">
      <c r="M170" s="12" t="str">
        <f t="shared" si="31"/>
        <v/>
      </c>
      <c r="N170" s="12"/>
      <c r="O170" s="12"/>
      <c r="P170" s="12"/>
    </row>
    <row r="171" spans="13:16" x14ac:dyDescent="0.35">
      <c r="M171" s="12" t="str">
        <f t="shared" si="31"/>
        <v/>
      </c>
      <c r="N171" s="12"/>
      <c r="O171" s="12"/>
      <c r="P171" s="12"/>
    </row>
    <row r="172" spans="13:16" x14ac:dyDescent="0.35">
      <c r="M172" s="12" t="str">
        <f t="shared" si="31"/>
        <v/>
      </c>
      <c r="N172" s="12"/>
      <c r="O172" s="12"/>
      <c r="P172" s="12"/>
    </row>
    <row r="173" spans="13:16" x14ac:dyDescent="0.35">
      <c r="M173" s="12" t="str">
        <f t="shared" si="31"/>
        <v/>
      </c>
      <c r="N173" s="12"/>
      <c r="O173" s="12"/>
      <c r="P173" s="12"/>
    </row>
    <row r="174" spans="13:16" x14ac:dyDescent="0.35">
      <c r="M174" s="12" t="str">
        <f t="shared" si="31"/>
        <v/>
      </c>
      <c r="N174" s="12"/>
      <c r="O174" s="12"/>
      <c r="P174" s="12"/>
    </row>
    <row r="175" spans="13:16" x14ac:dyDescent="0.35">
      <c r="M175" s="12" t="str">
        <f t="shared" si="31"/>
        <v/>
      </c>
      <c r="N175" s="12"/>
      <c r="O175" s="12"/>
      <c r="P175" s="12"/>
    </row>
    <row r="176" spans="13:16" x14ac:dyDescent="0.35">
      <c r="M176" s="12" t="str">
        <f t="shared" si="31"/>
        <v/>
      </c>
      <c r="N176" s="12"/>
      <c r="O176" s="12"/>
      <c r="P176" s="12"/>
    </row>
    <row r="177" spans="13:16" x14ac:dyDescent="0.35">
      <c r="M177" s="12" t="str">
        <f t="shared" si="31"/>
        <v/>
      </c>
      <c r="N177" s="12"/>
      <c r="O177" s="12"/>
      <c r="P177" s="12"/>
    </row>
    <row r="178" spans="13:16" x14ac:dyDescent="0.35">
      <c r="M178" s="12" t="str">
        <f t="shared" si="31"/>
        <v/>
      </c>
      <c r="N178" s="12"/>
      <c r="O178" s="12"/>
      <c r="P178" s="12"/>
    </row>
    <row r="179" spans="13:16" x14ac:dyDescent="0.35">
      <c r="M179" s="12" t="str">
        <f t="shared" si="31"/>
        <v/>
      </c>
      <c r="N179" s="12"/>
      <c r="O179" s="12"/>
      <c r="P179" s="12"/>
    </row>
    <row r="180" spans="13:16" x14ac:dyDescent="0.35">
      <c r="M180" s="12" t="str">
        <f t="shared" si="31"/>
        <v/>
      </c>
      <c r="N180" s="12"/>
      <c r="O180" s="12"/>
      <c r="P180" s="12"/>
    </row>
    <row r="181" spans="13:16" x14ac:dyDescent="0.35">
      <c r="M181" s="12" t="str">
        <f t="shared" si="31"/>
        <v/>
      </c>
      <c r="N181" s="12"/>
      <c r="O181" s="12"/>
      <c r="P181" s="12"/>
    </row>
    <row r="182" spans="13:16" x14ac:dyDescent="0.35">
      <c r="M182" s="12" t="str">
        <f t="shared" si="31"/>
        <v/>
      </c>
      <c r="N182" s="12"/>
      <c r="O182" s="12"/>
      <c r="P182" s="12"/>
    </row>
    <row r="183" spans="13:16" x14ac:dyDescent="0.35">
      <c r="M183" s="12" t="str">
        <f t="shared" si="31"/>
        <v/>
      </c>
      <c r="N183" s="12"/>
      <c r="O183" s="12"/>
      <c r="P183" s="12"/>
    </row>
    <row r="184" spans="13:16" x14ac:dyDescent="0.35">
      <c r="M184" s="12" t="str">
        <f t="shared" si="31"/>
        <v/>
      </c>
      <c r="N184" s="12"/>
      <c r="O184" s="12"/>
      <c r="P184" s="12"/>
    </row>
    <row r="185" spans="13:16" x14ac:dyDescent="0.35">
      <c r="M185" s="12" t="str">
        <f t="shared" si="31"/>
        <v/>
      </c>
      <c r="N185" s="12"/>
      <c r="O185" s="12"/>
      <c r="P185" s="12"/>
    </row>
    <row r="186" spans="13:16" x14ac:dyDescent="0.35">
      <c r="M186" s="12" t="str">
        <f t="shared" si="31"/>
        <v/>
      </c>
      <c r="N186" s="12"/>
      <c r="O186" s="12"/>
      <c r="P186" s="12"/>
    </row>
    <row r="187" spans="13:16" x14ac:dyDescent="0.35">
      <c r="M187" s="12" t="str">
        <f t="shared" si="31"/>
        <v/>
      </c>
      <c r="N187" s="12"/>
      <c r="O187" s="12"/>
      <c r="P187" s="12"/>
    </row>
    <row r="188" spans="13:16" x14ac:dyDescent="0.35">
      <c r="M188" s="12" t="str">
        <f t="shared" si="31"/>
        <v/>
      </c>
      <c r="N188" s="12"/>
      <c r="O188" s="12"/>
      <c r="P188" s="12"/>
    </row>
    <row r="189" spans="13:16" x14ac:dyDescent="0.35">
      <c r="M189" s="12" t="str">
        <f t="shared" si="31"/>
        <v/>
      </c>
      <c r="N189" s="12"/>
      <c r="O189" s="12"/>
      <c r="P189" s="12"/>
    </row>
    <row r="190" spans="13:16" x14ac:dyDescent="0.35">
      <c r="M190" s="12" t="str">
        <f t="shared" si="31"/>
        <v/>
      </c>
      <c r="N190" s="12"/>
      <c r="O190" s="12"/>
      <c r="P190" s="12"/>
    </row>
    <row r="191" spans="13:16" x14ac:dyDescent="0.35">
      <c r="M191" s="12" t="str">
        <f t="shared" si="31"/>
        <v/>
      </c>
      <c r="N191" s="12"/>
      <c r="O191" s="12"/>
      <c r="P191" s="12"/>
    </row>
    <row r="192" spans="13:16" x14ac:dyDescent="0.35">
      <c r="M192" s="12" t="str">
        <f t="shared" si="31"/>
        <v/>
      </c>
      <c r="N192" s="12"/>
      <c r="O192" s="12"/>
      <c r="P192" s="12"/>
    </row>
    <row r="193" spans="13:16" x14ac:dyDescent="0.35">
      <c r="M193" s="12" t="str">
        <f t="shared" si="31"/>
        <v/>
      </c>
      <c r="N193" s="12"/>
      <c r="O193" s="12"/>
      <c r="P193" s="12"/>
    </row>
    <row r="194" spans="13:16" x14ac:dyDescent="0.35">
      <c r="M194" s="12" t="str">
        <f t="shared" si="31"/>
        <v/>
      </c>
      <c r="N194" s="12"/>
      <c r="O194" s="12"/>
      <c r="P194" s="12"/>
    </row>
    <row r="195" spans="13:16" x14ac:dyDescent="0.35">
      <c r="M195" s="12" t="str">
        <f t="shared" si="31"/>
        <v/>
      </c>
      <c r="N195" s="12"/>
      <c r="O195" s="12"/>
      <c r="P195" s="12"/>
    </row>
    <row r="196" spans="13:16" x14ac:dyDescent="0.35">
      <c r="M196" s="12" t="str">
        <f t="shared" si="31"/>
        <v/>
      </c>
      <c r="N196" s="12"/>
      <c r="O196" s="12"/>
      <c r="P196" s="12"/>
    </row>
  </sheetData>
  <protectedRanges>
    <protectedRange password="C797" sqref="B35:B118" name="Диапазон1_1"/>
    <protectedRange password="C797" sqref="Q32:R33" name="Диапазон1"/>
    <protectedRange password="C797" sqref="S32:S94" name="Диапазон1_2"/>
  </protectedRanges>
  <mergeCells count="24">
    <mergeCell ref="I32:L32"/>
    <mergeCell ref="H10:M10"/>
    <mergeCell ref="P10:Q10"/>
    <mergeCell ref="H11:M11"/>
    <mergeCell ref="P11:Q11"/>
    <mergeCell ref="H12:H16"/>
    <mergeCell ref="P12:Q12"/>
    <mergeCell ref="P13:Q13"/>
    <mergeCell ref="N14:O14"/>
    <mergeCell ref="N15:O15"/>
    <mergeCell ref="P16:Q16"/>
    <mergeCell ref="N17:O17"/>
    <mergeCell ref="P17:Q17"/>
    <mergeCell ref="H17:H18"/>
    <mergeCell ref="N18:O18"/>
    <mergeCell ref="P18:Q18"/>
    <mergeCell ref="P7:Q7"/>
    <mergeCell ref="P8:Q8"/>
    <mergeCell ref="P9:Q9"/>
    <mergeCell ref="A1:R1"/>
    <mergeCell ref="H3:M3"/>
    <mergeCell ref="H4:M4"/>
    <mergeCell ref="H5:Q5"/>
    <mergeCell ref="H6:M6"/>
  </mergeCells>
  <dataValidations disablePrompts="1" count="1">
    <dataValidation type="list" allowBlank="1" showInputMessage="1" showErrorMessage="1" sqref="R8">
      <formula1>$S$8:$S$9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topLeftCell="F1" workbookViewId="0">
      <selection activeCell="Q199" sqref="Q199"/>
    </sheetView>
  </sheetViews>
  <sheetFormatPr defaultRowHeight="14.5" x14ac:dyDescent="0.35"/>
  <cols>
    <col min="2" max="2" width="10.453125" bestFit="1" customWidth="1"/>
    <col min="3" max="3" width="12.81640625" customWidth="1"/>
    <col min="4" max="4" width="16" customWidth="1"/>
    <col min="5" max="5" width="13.7265625" customWidth="1"/>
    <col min="6" max="6" width="14.1796875" customWidth="1"/>
    <col min="7" max="8" width="13.1796875" customWidth="1"/>
    <col min="9" max="15" width="13.453125" customWidth="1"/>
    <col min="16" max="16" width="13.1796875" customWidth="1"/>
    <col min="17" max="17" width="14.54296875" style="134" customWidth="1"/>
  </cols>
  <sheetData>
    <row r="1" spans="1:17" x14ac:dyDescent="0.35">
      <c r="A1" s="17" t="s">
        <v>75</v>
      </c>
    </row>
    <row r="2" spans="1:17" ht="40.5" customHeight="1" x14ac:dyDescent="0.35">
      <c r="A2" s="379" t="s">
        <v>113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</row>
    <row r="4" spans="1:17" x14ac:dyDescent="0.35">
      <c r="A4" s="18"/>
      <c r="B4" s="18"/>
      <c r="C4" s="18"/>
      <c r="D4" s="18"/>
      <c r="E4" s="374"/>
      <c r="F4" s="374"/>
      <c r="G4" s="19"/>
      <c r="H4" s="19"/>
      <c r="I4" s="19"/>
      <c r="J4" s="19"/>
      <c r="K4" s="19"/>
      <c r="L4" s="19"/>
      <c r="M4" s="19"/>
      <c r="N4" s="19"/>
      <c r="O4" s="19" t="s">
        <v>142</v>
      </c>
      <c r="P4" s="19"/>
      <c r="Q4" s="135"/>
    </row>
    <row r="5" spans="1:17" ht="15" customHeight="1" x14ac:dyDescent="0.35">
      <c r="A5" s="18"/>
      <c r="B5" s="18"/>
      <c r="C5" s="18"/>
      <c r="D5" s="18"/>
      <c r="E5" s="375"/>
      <c r="F5" s="375"/>
      <c r="G5" s="22"/>
      <c r="H5" s="22"/>
      <c r="I5" s="23"/>
      <c r="J5" s="23"/>
      <c r="K5" s="23"/>
      <c r="L5" s="23"/>
      <c r="M5" s="23"/>
      <c r="N5" s="23"/>
      <c r="O5" s="386" t="s">
        <v>76</v>
      </c>
      <c r="P5" s="387"/>
      <c r="Q5" s="376">
        <f>I29</f>
        <v>10000</v>
      </c>
    </row>
    <row r="6" spans="1:17" ht="22.5" customHeight="1" x14ac:dyDescent="0.35">
      <c r="A6" s="18" t="s">
        <v>77</v>
      </c>
      <c r="B6" s="18"/>
      <c r="C6" s="18"/>
      <c r="D6" s="18"/>
      <c r="E6" s="378">
        <f>'график анн'!F7</f>
        <v>1000000</v>
      </c>
      <c r="F6" s="378"/>
      <c r="G6" s="20"/>
      <c r="H6" s="20"/>
      <c r="I6" s="23"/>
      <c r="J6" s="23"/>
      <c r="K6" s="23"/>
      <c r="L6" s="23"/>
      <c r="M6" s="23"/>
      <c r="N6" s="23"/>
      <c r="O6" s="388"/>
      <c r="P6" s="389"/>
      <c r="Q6" s="377"/>
    </row>
    <row r="7" spans="1:17" ht="15" customHeight="1" x14ac:dyDescent="0.35">
      <c r="A7" s="18" t="s">
        <v>78</v>
      </c>
      <c r="B7" s="18"/>
      <c r="C7" s="18"/>
      <c r="D7" s="18"/>
      <c r="E7" s="354">
        <f ca="1">'график анн'!F3</f>
        <v>44228</v>
      </c>
      <c r="F7" s="355"/>
      <c r="G7" s="20"/>
      <c r="H7" s="20"/>
      <c r="I7" s="27"/>
      <c r="J7" s="27"/>
      <c r="K7" s="27"/>
      <c r="L7" s="27"/>
      <c r="M7" s="27"/>
      <c r="N7" s="27"/>
      <c r="O7" s="390" t="s">
        <v>125</v>
      </c>
      <c r="P7" s="391"/>
      <c r="Q7" s="394">
        <f>J29</f>
        <v>0</v>
      </c>
    </row>
    <row r="8" spans="1:17" x14ac:dyDescent="0.35">
      <c r="A8" s="18" t="s">
        <v>79</v>
      </c>
      <c r="B8" s="18"/>
      <c r="C8" s="18"/>
      <c r="D8" s="18"/>
      <c r="E8" s="354">
        <f ca="1">EDATE(E7,'график анн'!F8)-1</f>
        <v>46053</v>
      </c>
      <c r="F8" s="355"/>
      <c r="G8" s="20"/>
      <c r="H8" s="20"/>
      <c r="I8" s="27"/>
      <c r="J8" s="27"/>
      <c r="K8" s="27"/>
      <c r="L8" s="27"/>
      <c r="M8" s="27"/>
      <c r="N8" s="27"/>
      <c r="O8" s="392"/>
      <c r="P8" s="393"/>
      <c r="Q8" s="395"/>
    </row>
    <row r="9" spans="1:17" ht="15" customHeight="1" x14ac:dyDescent="0.35">
      <c r="A9" s="18"/>
      <c r="B9" s="18"/>
      <c r="C9" s="18"/>
      <c r="D9" s="18"/>
      <c r="E9" s="24"/>
      <c r="F9" s="25"/>
      <c r="G9" s="26"/>
      <c r="H9" s="26"/>
      <c r="I9" s="27"/>
      <c r="J9" s="27"/>
      <c r="K9" s="27"/>
      <c r="L9" s="27"/>
      <c r="M9" s="27"/>
      <c r="N9" s="27"/>
      <c r="O9" s="396" t="s">
        <v>131</v>
      </c>
      <c r="P9" s="397"/>
      <c r="Q9" s="195">
        <f>'график анн'!R18</f>
        <v>12181</v>
      </c>
    </row>
    <row r="10" spans="1:17" ht="15" customHeight="1" x14ac:dyDescent="0.35">
      <c r="A10" s="18" t="s">
        <v>80</v>
      </c>
      <c r="B10" s="18"/>
      <c r="C10" s="18"/>
      <c r="D10" s="18"/>
      <c r="E10" s="363">
        <f>'график анн'!F8</f>
        <v>60</v>
      </c>
      <c r="F10" s="363"/>
      <c r="G10" s="26"/>
      <c r="H10" s="26"/>
      <c r="I10" s="27"/>
      <c r="J10" s="27"/>
      <c r="K10" s="27"/>
      <c r="L10" s="27"/>
      <c r="M10" s="27"/>
      <c r="N10" s="27"/>
      <c r="O10" s="398" t="s">
        <v>126</v>
      </c>
      <c r="P10" s="399"/>
      <c r="Q10" s="394">
        <f>L29+M29+N29+O29</f>
        <v>59900</v>
      </c>
    </row>
    <row r="11" spans="1:17" x14ac:dyDescent="0.35">
      <c r="A11" s="18"/>
      <c r="B11" s="18"/>
      <c r="C11" s="18"/>
      <c r="D11" s="18"/>
      <c r="E11" s="24"/>
      <c r="F11" s="25"/>
      <c r="G11" s="28"/>
      <c r="H11" s="28"/>
      <c r="I11" s="27"/>
      <c r="J11" s="27"/>
      <c r="K11" s="27"/>
      <c r="L11" s="27"/>
      <c r="M11" s="27"/>
      <c r="N11" s="27"/>
      <c r="O11" s="400"/>
      <c r="P11" s="401"/>
      <c r="Q11" s="395"/>
    </row>
    <row r="12" spans="1:17" x14ac:dyDescent="0.35">
      <c r="A12" s="18" t="s">
        <v>81</v>
      </c>
      <c r="B12" s="18"/>
      <c r="C12" s="18"/>
      <c r="D12" s="18"/>
      <c r="E12" s="364" t="s">
        <v>82</v>
      </c>
      <c r="F12" s="364"/>
      <c r="G12" s="26"/>
      <c r="H12" s="26"/>
      <c r="I12" s="27"/>
      <c r="J12" s="27"/>
      <c r="K12" s="27"/>
      <c r="L12" s="27"/>
      <c r="M12" s="27"/>
      <c r="N12" s="27"/>
      <c r="O12" s="27"/>
      <c r="P12" s="29"/>
      <c r="Q12" s="137"/>
    </row>
    <row r="13" spans="1:17" x14ac:dyDescent="0.35">
      <c r="A13" s="18" t="s">
        <v>83</v>
      </c>
      <c r="B13" s="18"/>
      <c r="C13" s="18"/>
      <c r="D13" s="18"/>
      <c r="E13" s="364" t="s">
        <v>84</v>
      </c>
      <c r="F13" s="364"/>
      <c r="G13" s="26"/>
      <c r="H13" s="26"/>
      <c r="I13" s="21"/>
      <c r="J13" s="21"/>
      <c r="K13" s="21"/>
      <c r="L13" s="21"/>
      <c r="M13" s="21"/>
      <c r="N13" s="21"/>
      <c r="O13" s="21"/>
      <c r="P13" s="22"/>
      <c r="Q13" s="136"/>
    </row>
    <row r="14" spans="1:17" hidden="1" x14ac:dyDescent="0.35">
      <c r="A14" s="18"/>
      <c r="B14" s="18"/>
      <c r="C14" s="18"/>
      <c r="D14" s="18"/>
      <c r="E14" s="46"/>
      <c r="F14" s="46"/>
      <c r="G14" s="26"/>
      <c r="H14" s="26"/>
      <c r="I14" s="21"/>
      <c r="J14" s="21"/>
      <c r="K14" s="21"/>
      <c r="L14" s="21"/>
      <c r="M14" s="21"/>
      <c r="N14" s="21"/>
      <c r="O14" s="21"/>
      <c r="P14" s="22"/>
      <c r="Q14" s="136"/>
    </row>
    <row r="15" spans="1:17" hidden="1" x14ac:dyDescent="0.35">
      <c r="A15" s="356" t="s">
        <v>85</v>
      </c>
      <c r="B15" s="356"/>
      <c r="C15" s="356"/>
      <c r="D15" s="356"/>
      <c r="E15" s="356"/>
      <c r="F15" s="356"/>
      <c r="G15" s="30"/>
      <c r="H15" s="30"/>
      <c r="I15" s="21"/>
      <c r="J15" s="21"/>
      <c r="K15" s="21"/>
      <c r="L15" s="21"/>
      <c r="M15" s="21"/>
      <c r="N15" s="21"/>
      <c r="O15" s="21"/>
      <c r="P15" s="22"/>
      <c r="Q15" s="136"/>
    </row>
    <row r="16" spans="1:17" hidden="1" x14ac:dyDescent="0.35">
      <c r="A16" s="366" t="s">
        <v>86</v>
      </c>
      <c r="B16" s="367"/>
      <c r="C16" s="31"/>
      <c r="D16" s="31"/>
      <c r="E16" s="31" t="s">
        <v>87</v>
      </c>
      <c r="F16" s="32" t="s">
        <v>88</v>
      </c>
      <c r="G16" s="32" t="s">
        <v>89</v>
      </c>
      <c r="H16" s="70"/>
      <c r="I16" s="33"/>
      <c r="J16" s="33"/>
      <c r="K16" s="33"/>
      <c r="L16" s="33"/>
      <c r="M16" s="33"/>
      <c r="N16" s="33"/>
      <c r="O16" s="33"/>
      <c r="P16" s="22"/>
      <c r="Q16" s="136"/>
    </row>
    <row r="17" spans="1:17" hidden="1" x14ac:dyDescent="0.35">
      <c r="A17" s="34"/>
      <c r="B17" s="35"/>
      <c r="C17" s="31"/>
      <c r="D17" s="31"/>
      <c r="E17" s="31"/>
      <c r="F17" s="32"/>
      <c r="G17" s="32"/>
      <c r="H17" s="70"/>
      <c r="I17" s="33"/>
      <c r="J17" s="33"/>
      <c r="K17" s="33"/>
      <c r="L17" s="33"/>
      <c r="M17" s="33"/>
      <c r="N17" s="33"/>
      <c r="O17" s="33"/>
      <c r="P17" s="37"/>
      <c r="Q17" s="138"/>
    </row>
    <row r="18" spans="1:17" hidden="1" x14ac:dyDescent="0.35">
      <c r="A18" s="38" t="s">
        <v>95</v>
      </c>
      <c r="B18" s="36"/>
      <c r="C18" s="36"/>
      <c r="D18" s="36"/>
      <c r="E18" s="36"/>
      <c r="F18" s="36"/>
      <c r="G18" s="36"/>
      <c r="H18" s="36"/>
      <c r="I18" s="39"/>
      <c r="J18" s="39"/>
      <c r="K18" s="39"/>
      <c r="L18" s="39"/>
      <c r="M18" s="39"/>
      <c r="N18" s="39"/>
      <c r="O18" s="39"/>
      <c r="P18" s="36"/>
      <c r="Q18" s="139"/>
    </row>
    <row r="19" spans="1:17" hidden="1" x14ac:dyDescent="0.3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140"/>
    </row>
    <row r="20" spans="1:17" x14ac:dyDescent="0.3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9"/>
      <c r="Q20" s="141"/>
    </row>
    <row r="21" spans="1:17" ht="24" customHeight="1" x14ac:dyDescent="0.35">
      <c r="A21" s="368" t="s">
        <v>63</v>
      </c>
      <c r="B21" s="371" t="s">
        <v>64</v>
      </c>
      <c r="C21" s="357" t="s">
        <v>65</v>
      </c>
      <c r="D21" s="357" t="s">
        <v>66</v>
      </c>
      <c r="E21" s="380" t="s">
        <v>90</v>
      </c>
      <c r="F21" s="360" t="s">
        <v>91</v>
      </c>
      <c r="G21" s="361"/>
      <c r="H21" s="361"/>
      <c r="I21" s="361"/>
      <c r="J21" s="361"/>
      <c r="K21" s="361"/>
      <c r="L21" s="348" t="s">
        <v>141</v>
      </c>
      <c r="M21" s="349"/>
      <c r="N21" s="193"/>
      <c r="O21" s="194"/>
      <c r="P21" s="371" t="s">
        <v>71</v>
      </c>
      <c r="Q21" s="383" t="s">
        <v>92</v>
      </c>
    </row>
    <row r="22" spans="1:17" ht="72" customHeight="1" x14ac:dyDescent="0.35">
      <c r="A22" s="369"/>
      <c r="B22" s="372"/>
      <c r="C22" s="358"/>
      <c r="D22" s="358"/>
      <c r="E22" s="381"/>
      <c r="F22" s="362" t="s">
        <v>67</v>
      </c>
      <c r="G22" s="384" t="s">
        <v>68</v>
      </c>
      <c r="H22" s="362" t="s">
        <v>111</v>
      </c>
      <c r="I22" s="362" t="s">
        <v>93</v>
      </c>
      <c r="J22" s="350" t="s">
        <v>132</v>
      </c>
      <c r="K22" s="350" t="s">
        <v>131</v>
      </c>
      <c r="L22" s="350" t="s">
        <v>127</v>
      </c>
      <c r="M22" s="352" t="s">
        <v>128</v>
      </c>
      <c r="N22" s="350" t="s">
        <v>129</v>
      </c>
      <c r="O22" s="350" t="s">
        <v>130</v>
      </c>
      <c r="P22" s="372"/>
      <c r="Q22" s="383"/>
    </row>
    <row r="23" spans="1:17" ht="45" customHeight="1" x14ac:dyDescent="0.35">
      <c r="A23" s="369"/>
      <c r="B23" s="372"/>
      <c r="C23" s="358"/>
      <c r="D23" s="358"/>
      <c r="E23" s="381"/>
      <c r="F23" s="358"/>
      <c r="G23" s="372"/>
      <c r="H23" s="358"/>
      <c r="I23" s="358"/>
      <c r="J23" s="351"/>
      <c r="K23" s="351"/>
      <c r="L23" s="351"/>
      <c r="M23" s="353"/>
      <c r="N23" s="351"/>
      <c r="O23" s="351"/>
      <c r="P23" s="372"/>
      <c r="Q23" s="383"/>
    </row>
    <row r="24" spans="1:17" hidden="1" x14ac:dyDescent="0.35">
      <c r="A24" s="369"/>
      <c r="B24" s="372"/>
      <c r="C24" s="358"/>
      <c r="D24" s="358"/>
      <c r="E24" s="381"/>
      <c r="F24" s="358"/>
      <c r="G24" s="372"/>
      <c r="H24" s="358"/>
      <c r="I24" s="358"/>
      <c r="J24" s="146"/>
      <c r="K24" s="146"/>
      <c r="L24" s="146"/>
      <c r="M24" s="146"/>
      <c r="N24" s="146"/>
      <c r="O24" s="146"/>
      <c r="P24" s="372"/>
      <c r="Q24" s="383"/>
    </row>
    <row r="25" spans="1:17" hidden="1" x14ac:dyDescent="0.35">
      <c r="A25" s="369"/>
      <c r="B25" s="372"/>
      <c r="C25" s="358"/>
      <c r="D25" s="358"/>
      <c r="E25" s="381"/>
      <c r="F25" s="358"/>
      <c r="G25" s="372"/>
      <c r="H25" s="358"/>
      <c r="I25" s="358"/>
      <c r="J25" s="146"/>
      <c r="K25" s="146"/>
      <c r="L25" s="146"/>
      <c r="M25" s="146"/>
      <c r="N25" s="146"/>
      <c r="O25" s="146"/>
      <c r="P25" s="372"/>
      <c r="Q25" s="383"/>
    </row>
    <row r="26" spans="1:17" hidden="1" x14ac:dyDescent="0.35">
      <c r="A26" s="369"/>
      <c r="B26" s="372"/>
      <c r="C26" s="358"/>
      <c r="D26" s="358"/>
      <c r="E26" s="381"/>
      <c r="F26" s="358"/>
      <c r="G26" s="372"/>
      <c r="H26" s="358"/>
      <c r="I26" s="358"/>
      <c r="J26" s="146"/>
      <c r="K26" s="146"/>
      <c r="L26" s="146"/>
      <c r="M26" s="146"/>
      <c r="N26" s="146"/>
      <c r="O26" s="146"/>
      <c r="P26" s="372"/>
      <c r="Q26" s="383"/>
    </row>
    <row r="27" spans="1:17" hidden="1" x14ac:dyDescent="0.35">
      <c r="A27" s="369"/>
      <c r="B27" s="372"/>
      <c r="C27" s="358"/>
      <c r="D27" s="358"/>
      <c r="E27" s="381"/>
      <c r="F27" s="358"/>
      <c r="G27" s="372"/>
      <c r="H27" s="358"/>
      <c r="I27" s="358"/>
      <c r="J27" s="146"/>
      <c r="K27" s="146"/>
      <c r="L27" s="146"/>
      <c r="M27" s="146"/>
      <c r="N27" s="146"/>
      <c r="O27" s="146"/>
      <c r="P27" s="372"/>
      <c r="Q27" s="383"/>
    </row>
    <row r="28" spans="1:17" hidden="1" x14ac:dyDescent="0.35">
      <c r="A28" s="370"/>
      <c r="B28" s="373"/>
      <c r="C28" s="359"/>
      <c r="D28" s="359"/>
      <c r="E28" s="382"/>
      <c r="F28" s="359"/>
      <c r="G28" s="373"/>
      <c r="H28" s="359"/>
      <c r="I28" s="75"/>
      <c r="J28" s="147"/>
      <c r="K28" s="147"/>
      <c r="L28" s="147"/>
      <c r="M28" s="147"/>
      <c r="N28" s="147"/>
      <c r="O28" s="147"/>
      <c r="P28" s="373"/>
      <c r="Q28" s="383"/>
    </row>
    <row r="29" spans="1:17" x14ac:dyDescent="0.35">
      <c r="A29" s="118"/>
      <c r="B29" s="119">
        <f ca="1">'график анн'!C34</f>
        <v>44228</v>
      </c>
      <c r="C29" s="120"/>
      <c r="D29" s="121">
        <f>'график анн'!E34</f>
        <v>1000000</v>
      </c>
      <c r="E29" s="122"/>
      <c r="F29" s="121"/>
      <c r="G29" s="122"/>
      <c r="H29" s="122">
        <f>'график анн'!P34</f>
        <v>0</v>
      </c>
      <c r="I29" s="122">
        <f>'график анн'!M34</f>
        <v>10000</v>
      </c>
      <c r="J29" s="122">
        <f>'график анн'!N34</f>
        <v>0</v>
      </c>
      <c r="K29" s="122">
        <f>'график анн'!O34</f>
        <v>2500</v>
      </c>
      <c r="L29" s="122">
        <f>'график анн'!I34</f>
        <v>0</v>
      </c>
      <c r="M29" s="122">
        <f>'график анн'!J34</f>
        <v>0</v>
      </c>
      <c r="N29" s="122">
        <f>'график анн'!K34</f>
        <v>59900</v>
      </c>
      <c r="O29" s="122">
        <f>'график анн'!L34</f>
        <v>0</v>
      </c>
      <c r="P29" s="123"/>
      <c r="Q29" s="142"/>
    </row>
    <row r="30" spans="1:17" x14ac:dyDescent="0.35">
      <c r="A30" s="124">
        <f>'график анн'!A35</f>
        <v>1</v>
      </c>
      <c r="B30" s="125">
        <f ca="1">'график анн'!C35</f>
        <v>44256</v>
      </c>
      <c r="C30" s="126">
        <f ca="1">'график анн'!D35</f>
        <v>28</v>
      </c>
      <c r="D30" s="45">
        <f ca="1">'график анн'!E35</f>
        <v>983333.33333333337</v>
      </c>
      <c r="E30" s="45">
        <f>'график анн'!H35</f>
        <v>16666.666666666668</v>
      </c>
      <c r="F30" s="45">
        <f ca="1">'график анн'!F35</f>
        <v>16666.666666666668</v>
      </c>
      <c r="G30" s="45">
        <f ca="1">'график анн'!G35</f>
        <v>0</v>
      </c>
      <c r="H30" s="127">
        <f>'график анн'!L35</f>
        <v>0</v>
      </c>
      <c r="I30" s="127">
        <f>'график анн'!M35</f>
        <v>0</v>
      </c>
      <c r="J30" s="127">
        <f>'график анн'!N35</f>
        <v>0</v>
      </c>
      <c r="K30" s="127">
        <f>'график анн'!O35</f>
        <v>0</v>
      </c>
      <c r="L30" s="127">
        <f>'график анн'!I35</f>
        <v>0</v>
      </c>
      <c r="M30" s="127">
        <f>'график анн'!J35</f>
        <v>0</v>
      </c>
      <c r="N30" s="127">
        <f>'график анн'!K35</f>
        <v>0</v>
      </c>
      <c r="O30" s="127">
        <f>'график анн'!L35</f>
        <v>0</v>
      </c>
      <c r="P30" s="50" t="str">
        <f>'график анн'!Q35</f>
        <v/>
      </c>
      <c r="Q30" s="48">
        <f>'график анн'!R35</f>
        <v>0</v>
      </c>
    </row>
    <row r="31" spans="1:17" x14ac:dyDescent="0.35">
      <c r="A31" s="124">
        <f>'график анн'!A36</f>
        <v>2</v>
      </c>
      <c r="B31" s="125">
        <f ca="1">'график анн'!C36</f>
        <v>44287</v>
      </c>
      <c r="C31" s="126">
        <f ca="1">'график анн'!D36</f>
        <v>31</v>
      </c>
      <c r="D31" s="45">
        <f ca="1">'график анн'!E36</f>
        <v>966666.66666666674</v>
      </c>
      <c r="E31" s="45">
        <f ca="1">'график анн'!H36</f>
        <v>16666.666666666668</v>
      </c>
      <c r="F31" s="45">
        <f ca="1">'график анн'!F36</f>
        <v>16666.666666666668</v>
      </c>
      <c r="G31" s="45">
        <f ca="1">'график анн'!G36</f>
        <v>0</v>
      </c>
      <c r="H31" s="127">
        <f>'график анн'!L36</f>
        <v>0</v>
      </c>
      <c r="I31" s="127">
        <f>'график анн'!M36</f>
        <v>0</v>
      </c>
      <c r="J31" s="127">
        <f>'график анн'!N36</f>
        <v>0</v>
      </c>
      <c r="K31" s="127">
        <f>'график анн'!O36</f>
        <v>0</v>
      </c>
      <c r="L31" s="127">
        <f>'график анн'!I36</f>
        <v>0</v>
      </c>
      <c r="M31" s="127">
        <f>'график анн'!J36</f>
        <v>0</v>
      </c>
      <c r="N31" s="127">
        <f>'график анн'!K36</f>
        <v>0</v>
      </c>
      <c r="O31" s="127">
        <f>'график анн'!L36</f>
        <v>0</v>
      </c>
      <c r="P31" s="50" t="str">
        <f>'график анн'!Q36</f>
        <v/>
      </c>
      <c r="Q31" s="48">
        <f>'график анн'!R36</f>
        <v>0</v>
      </c>
    </row>
    <row r="32" spans="1:17" x14ac:dyDescent="0.35">
      <c r="A32" s="124">
        <f>'график анн'!A37</f>
        <v>3</v>
      </c>
      <c r="B32" s="125">
        <f ca="1">'график анн'!C37</f>
        <v>44317</v>
      </c>
      <c r="C32" s="126">
        <f ca="1">'график анн'!D37</f>
        <v>30</v>
      </c>
      <c r="D32" s="45">
        <f ca="1">'график анн'!E37</f>
        <v>950000.00000000012</v>
      </c>
      <c r="E32" s="45">
        <f ca="1">'график анн'!H37</f>
        <v>16666.666666666668</v>
      </c>
      <c r="F32" s="45">
        <f ca="1">'график анн'!F37</f>
        <v>16666.666666666668</v>
      </c>
      <c r="G32" s="45">
        <f ca="1">'график анн'!G37</f>
        <v>0</v>
      </c>
      <c r="H32" s="127">
        <f>'график анн'!L37</f>
        <v>0</v>
      </c>
      <c r="I32" s="127">
        <f>'график анн'!M37</f>
        <v>0</v>
      </c>
      <c r="J32" s="127">
        <f>'график анн'!N37</f>
        <v>0</v>
      </c>
      <c r="K32" s="127">
        <f>'график анн'!O37</f>
        <v>0</v>
      </c>
      <c r="L32" s="127">
        <f>'график анн'!I37</f>
        <v>0</v>
      </c>
      <c r="M32" s="127">
        <f>'график анн'!J37</f>
        <v>0</v>
      </c>
      <c r="N32" s="127">
        <f>'график анн'!K37</f>
        <v>0</v>
      </c>
      <c r="O32" s="127">
        <f>'график анн'!L37</f>
        <v>0</v>
      </c>
      <c r="P32" s="50" t="str">
        <f>'график анн'!Q37</f>
        <v/>
      </c>
      <c r="Q32" s="117" t="str">
        <f>'график анн'!R37</f>
        <v/>
      </c>
    </row>
    <row r="33" spans="1:17" x14ac:dyDescent="0.35">
      <c r="A33" s="124">
        <f>'график анн'!A38</f>
        <v>4</v>
      </c>
      <c r="B33" s="125">
        <f ca="1">'график анн'!C38</f>
        <v>44348</v>
      </c>
      <c r="C33" s="126">
        <f ca="1">'график анн'!D38</f>
        <v>31</v>
      </c>
      <c r="D33" s="45">
        <f ca="1">'график анн'!E38</f>
        <v>939900.46481316246</v>
      </c>
      <c r="E33" s="45">
        <f ca="1">'график анн'!H38</f>
        <v>25421.603679988366</v>
      </c>
      <c r="F33" s="45">
        <f ca="1">'график анн'!F38</f>
        <v>10099.535186837678</v>
      </c>
      <c r="G33" s="45">
        <f ca="1">'график анн'!G38</f>
        <v>15322.068493150688</v>
      </c>
      <c r="H33" s="127">
        <f>'график анн'!L38</f>
        <v>0</v>
      </c>
      <c r="I33" s="127">
        <f>'график анн'!M38</f>
        <v>0</v>
      </c>
      <c r="J33" s="127">
        <f>'график анн'!N38</f>
        <v>0</v>
      </c>
      <c r="K33" s="127">
        <f>'график анн'!O38</f>
        <v>0</v>
      </c>
      <c r="L33" s="127">
        <f>'график анн'!I38</f>
        <v>0</v>
      </c>
      <c r="M33" s="127">
        <f>'график анн'!J38</f>
        <v>0</v>
      </c>
      <c r="N33" s="127">
        <f>'график анн'!K38</f>
        <v>0</v>
      </c>
      <c r="O33" s="127">
        <f>'график анн'!L38</f>
        <v>0</v>
      </c>
      <c r="P33" s="50" t="str">
        <f>'график анн'!Q38</f>
        <v/>
      </c>
      <c r="Q33" s="117" t="str">
        <f>'график анн'!R38</f>
        <v/>
      </c>
    </row>
    <row r="34" spans="1:17" x14ac:dyDescent="0.35">
      <c r="A34" s="124">
        <f>'график анн'!A39</f>
        <v>5</v>
      </c>
      <c r="B34" s="125">
        <f ca="1">'график анн'!C39</f>
        <v>44378</v>
      </c>
      <c r="C34" s="126">
        <f ca="1">'график анн'!D39</f>
        <v>30</v>
      </c>
      <c r="D34" s="45">
        <f ca="1">'график анн'!E39</f>
        <v>929149.03359355929</v>
      </c>
      <c r="E34" s="45">
        <f ca="1">'график анн'!H39</f>
        <v>25421.603679988366</v>
      </c>
      <c r="F34" s="45">
        <f ca="1">'график анн'!F39</f>
        <v>10751.431219603197</v>
      </c>
      <c r="G34" s="45">
        <f ca="1">'график анн'!G39</f>
        <v>14670.172460385169</v>
      </c>
      <c r="H34" s="197" t="str">
        <f>'график анн'!L39</f>
        <v/>
      </c>
      <c r="I34" s="197" t="str">
        <f>'график анн'!M39</f>
        <v/>
      </c>
      <c r="J34" s="197" t="str">
        <f>'график анн'!N39</f>
        <v/>
      </c>
      <c r="K34" s="197" t="str">
        <f>'график анн'!O39</f>
        <v/>
      </c>
      <c r="L34" s="197" t="str">
        <f>'график анн'!I39</f>
        <v/>
      </c>
      <c r="M34" s="197" t="str">
        <f>'график анн'!J39</f>
        <v/>
      </c>
      <c r="N34" s="197" t="str">
        <f>'график анн'!K39</f>
        <v/>
      </c>
      <c r="O34" s="197" t="str">
        <f>'график анн'!L39</f>
        <v/>
      </c>
      <c r="P34" s="50" t="str">
        <f>'график анн'!Q39</f>
        <v/>
      </c>
      <c r="Q34" s="117" t="str">
        <f>'график анн'!R39</f>
        <v/>
      </c>
    </row>
    <row r="35" spans="1:17" x14ac:dyDescent="0.35">
      <c r="A35" s="124">
        <f>'график анн'!A40</f>
        <v>6</v>
      </c>
      <c r="B35" s="125">
        <f ca="1">'график анн'!C40</f>
        <v>44409</v>
      </c>
      <c r="C35" s="126">
        <f ca="1">'график анн'!D40</f>
        <v>31</v>
      </c>
      <c r="D35" s="45">
        <f ca="1">'график анн'!E40</f>
        <v>918713.20373785018</v>
      </c>
      <c r="E35" s="45">
        <f ca="1">'график анн'!H40</f>
        <v>25421.603679988366</v>
      </c>
      <c r="F35" s="45">
        <f ca="1">'график анн'!F40</f>
        <v>10435.82985570912</v>
      </c>
      <c r="G35" s="45">
        <f ca="1">'график анн'!G40</f>
        <v>14985.773824279246</v>
      </c>
      <c r="H35" s="197" t="str">
        <f>'график анн'!L40</f>
        <v/>
      </c>
      <c r="I35" s="197" t="str">
        <f>'график анн'!M40</f>
        <v/>
      </c>
      <c r="J35" s="197" t="str">
        <f>'график анн'!N40</f>
        <v/>
      </c>
      <c r="K35" s="197" t="str">
        <f>'график анн'!O40</f>
        <v/>
      </c>
      <c r="L35" s="197" t="str">
        <f>'график анн'!I40</f>
        <v/>
      </c>
      <c r="M35" s="197" t="str">
        <f>'график анн'!J40</f>
        <v/>
      </c>
      <c r="N35" s="197" t="str">
        <f>'график анн'!K40</f>
        <v/>
      </c>
      <c r="O35" s="197" t="str">
        <f>'график анн'!L40</f>
        <v/>
      </c>
      <c r="P35" s="50" t="str">
        <f>'график анн'!Q40</f>
        <v/>
      </c>
      <c r="Q35" s="117" t="str">
        <f>'график анн'!R40</f>
        <v/>
      </c>
    </row>
    <row r="36" spans="1:17" x14ac:dyDescent="0.35">
      <c r="A36" s="124">
        <f>'график анн'!A41</f>
        <v>7</v>
      </c>
      <c r="B36" s="125">
        <f ca="1">'график анн'!C41</f>
        <v>44440</v>
      </c>
      <c r="C36" s="126">
        <f ca="1">'график анн'!D41</f>
        <v>31</v>
      </c>
      <c r="D36" s="45">
        <f ca="1">'график анн'!E41</f>
        <v>908109.0596717915</v>
      </c>
      <c r="E36" s="45">
        <f ca="1">'график анн'!H41</f>
        <v>25421.603679988366</v>
      </c>
      <c r="F36" s="45">
        <f ca="1">'график анн'!F41</f>
        <v>10604.14406605864</v>
      </c>
      <c r="G36" s="45">
        <f ca="1">'график анн'!G41</f>
        <v>14817.459613929726</v>
      </c>
      <c r="H36" s="197" t="str">
        <f>'график анн'!L41</f>
        <v/>
      </c>
      <c r="I36" s="197" t="str">
        <f>'график анн'!M41</f>
        <v/>
      </c>
      <c r="J36" s="197" t="str">
        <f>'график анн'!N41</f>
        <v/>
      </c>
      <c r="K36" s="197" t="str">
        <f>'график анн'!O41</f>
        <v/>
      </c>
      <c r="L36" s="197" t="str">
        <f>'график анн'!I41</f>
        <v/>
      </c>
      <c r="M36" s="197" t="str">
        <f>'график анн'!J41</f>
        <v/>
      </c>
      <c r="N36" s="197" t="str">
        <f>'график анн'!K41</f>
        <v/>
      </c>
      <c r="O36" s="197" t="str">
        <f>'график анн'!L41</f>
        <v/>
      </c>
      <c r="P36" s="50" t="str">
        <f>'график анн'!Q41</f>
        <v/>
      </c>
      <c r="Q36" s="117" t="str">
        <f>'график анн'!R41</f>
        <v/>
      </c>
    </row>
    <row r="37" spans="1:17" x14ac:dyDescent="0.35">
      <c r="A37" s="124">
        <f>'график анн'!A42</f>
        <v>8</v>
      </c>
      <c r="B37" s="125">
        <f ca="1">'график анн'!C42</f>
        <v>44470</v>
      </c>
      <c r="C37" s="126">
        <f ca="1">'график анн'!D42</f>
        <v>30</v>
      </c>
      <c r="D37" s="45">
        <f ca="1">'график анн'!E42</f>
        <v>896861.42123276263</v>
      </c>
      <c r="E37" s="45">
        <f ca="1">'график анн'!H42</f>
        <v>25421.603679988366</v>
      </c>
      <c r="F37" s="45">
        <f ca="1">'график анн'!F42</f>
        <v>11247.638439028922</v>
      </c>
      <c r="G37" s="45">
        <f ca="1">'график анн'!G42</f>
        <v>14173.965240959444</v>
      </c>
      <c r="H37" s="197" t="str">
        <f>'график анн'!L42</f>
        <v/>
      </c>
      <c r="I37" s="197" t="str">
        <f>'график анн'!M42</f>
        <v/>
      </c>
      <c r="J37" s="197" t="str">
        <f>'график анн'!N42</f>
        <v/>
      </c>
      <c r="K37" s="197" t="str">
        <f>'график анн'!O42</f>
        <v/>
      </c>
      <c r="L37" s="197" t="str">
        <f>'график анн'!I42</f>
        <v/>
      </c>
      <c r="M37" s="197" t="str">
        <f>'график анн'!J42</f>
        <v/>
      </c>
      <c r="N37" s="197" t="str">
        <f>'график анн'!K42</f>
        <v/>
      </c>
      <c r="O37" s="197" t="str">
        <f>'график анн'!L42</f>
        <v/>
      </c>
      <c r="P37" s="50" t="str">
        <f>'график анн'!Q42</f>
        <v/>
      </c>
      <c r="Q37" s="117" t="str">
        <f>'график анн'!R42</f>
        <v/>
      </c>
    </row>
    <row r="38" spans="1:17" x14ac:dyDescent="0.35">
      <c r="A38" s="124">
        <f>'график анн'!A43</f>
        <v>9</v>
      </c>
      <c r="B38" s="125">
        <f ca="1">'график анн'!C43</f>
        <v>44501</v>
      </c>
      <c r="C38" s="126">
        <f ca="1">'график анн'!D43</f>
        <v>31</v>
      </c>
      <c r="D38" s="45">
        <f ca="1">'график анн'!E43</f>
        <v>885904.84084224037</v>
      </c>
      <c r="E38" s="45">
        <f ca="1">'график анн'!H43</f>
        <v>25421.603679988366</v>
      </c>
      <c r="F38" s="45">
        <f ca="1">'график анн'!F43</f>
        <v>10956.580390522202</v>
      </c>
      <c r="G38" s="45">
        <f ca="1">'график анн'!G43</f>
        <v>14465.023289466164</v>
      </c>
      <c r="H38" s="197" t="str">
        <f>'график анн'!L43</f>
        <v/>
      </c>
      <c r="I38" s="197" t="str">
        <f>'график анн'!M43</f>
        <v/>
      </c>
      <c r="J38" s="197" t="str">
        <f>'график анн'!N43</f>
        <v/>
      </c>
      <c r="K38" s="197" t="str">
        <f>'график анн'!O43</f>
        <v/>
      </c>
      <c r="L38" s="197" t="str">
        <f>'график анн'!I43</f>
        <v/>
      </c>
      <c r="M38" s="197" t="str">
        <f>'график анн'!J43</f>
        <v/>
      </c>
      <c r="N38" s="197" t="str">
        <f>'график анн'!K43</f>
        <v/>
      </c>
      <c r="O38" s="197" t="str">
        <f>'график анн'!L43</f>
        <v/>
      </c>
      <c r="P38" s="50" t="str">
        <f>'график анн'!Q43</f>
        <v/>
      </c>
      <c r="Q38" s="117" t="str">
        <f>'график анн'!R43</f>
        <v/>
      </c>
    </row>
    <row r="39" spans="1:17" x14ac:dyDescent="0.35">
      <c r="A39" s="124">
        <f>'график анн'!A44</f>
        <v>10</v>
      </c>
      <c r="B39" s="125">
        <f ca="1">'график анн'!C44</f>
        <v>44531</v>
      </c>
      <c r="C39" s="126">
        <f ca="1">'график анн'!D44</f>
        <v>30</v>
      </c>
      <c r="D39" s="45">
        <f ca="1">'график анн'!E44</f>
        <v>874310.63408904173</v>
      </c>
      <c r="E39" s="45">
        <f ca="1">'график анн'!H44</f>
        <v>25421.603679988366</v>
      </c>
      <c r="F39" s="45">
        <f ca="1">'график анн'!F44</f>
        <v>11594.206753198656</v>
      </c>
      <c r="G39" s="45">
        <f ca="1">'график анн'!G44</f>
        <v>13827.39692678971</v>
      </c>
      <c r="H39" s="197" t="str">
        <f>'график анн'!L44</f>
        <v/>
      </c>
      <c r="I39" s="197" t="str">
        <f>'график анн'!M44</f>
        <v/>
      </c>
      <c r="J39" s="197" t="str">
        <f>'график анн'!N44</f>
        <v/>
      </c>
      <c r="K39" s="197" t="str">
        <f>'график анн'!O44</f>
        <v/>
      </c>
      <c r="L39" s="197" t="str">
        <f>'график анн'!I44</f>
        <v/>
      </c>
      <c r="M39" s="197" t="str">
        <f>'график анн'!J44</f>
        <v/>
      </c>
      <c r="N39" s="197" t="str">
        <f>'график анн'!K44</f>
        <v/>
      </c>
      <c r="O39" s="197" t="str">
        <f>'график анн'!L44</f>
        <v/>
      </c>
      <c r="P39" s="50" t="str">
        <f>'график анн'!Q44</f>
        <v/>
      </c>
      <c r="Q39" s="117" t="str">
        <f>'график анн'!R44</f>
        <v/>
      </c>
    </row>
    <row r="40" spans="1:17" x14ac:dyDescent="0.35">
      <c r="A40" s="124">
        <f>'график анн'!A45</f>
        <v>11</v>
      </c>
      <c r="B40" s="125">
        <f ca="1">'график анн'!C45</f>
        <v>44562</v>
      </c>
      <c r="C40" s="126">
        <f ca="1">'график анн'!D45</f>
        <v>31</v>
      </c>
      <c r="D40" s="45">
        <f ca="1">'график анн'!E45</f>
        <v>862990.34348252951</v>
      </c>
      <c r="E40" s="45">
        <f ca="1">'график анн'!H45</f>
        <v>25421.603679988366</v>
      </c>
      <c r="F40" s="45">
        <f ca="1">'график анн'!F45</f>
        <v>11320.290606512255</v>
      </c>
      <c r="G40" s="45">
        <f ca="1">'график анн'!G45</f>
        <v>14101.313073476111</v>
      </c>
      <c r="H40" s="197" t="str">
        <f>'график анн'!L45</f>
        <v/>
      </c>
      <c r="I40" s="197" t="str">
        <f>'график анн'!M45</f>
        <v/>
      </c>
      <c r="J40" s="197" t="str">
        <f>'график анн'!N45</f>
        <v/>
      </c>
      <c r="K40" s="197" t="str">
        <f>'график анн'!O45</f>
        <v/>
      </c>
      <c r="L40" s="197" t="str">
        <f>'график анн'!I45</f>
        <v/>
      </c>
      <c r="M40" s="197" t="str">
        <f>'график анн'!J45</f>
        <v/>
      </c>
      <c r="N40" s="197" t="str">
        <f>'график анн'!K45</f>
        <v/>
      </c>
      <c r="O40" s="197" t="str">
        <f>'график анн'!L45</f>
        <v/>
      </c>
      <c r="P40" s="50" t="str">
        <f>'график анн'!Q45</f>
        <v/>
      </c>
      <c r="Q40" s="117" t="str">
        <f>'график анн'!R45</f>
        <v/>
      </c>
    </row>
    <row r="41" spans="1:17" x14ac:dyDescent="0.35">
      <c r="A41" s="124">
        <f>'график анн'!A46</f>
        <v>12</v>
      </c>
      <c r="B41" s="125">
        <f ca="1">'график анн'!C46</f>
        <v>44593</v>
      </c>
      <c r="C41" s="126">
        <f ca="1">'график анн'!D46</f>
        <v>31</v>
      </c>
      <c r="D41" s="45">
        <f ca="1">'график анн'!E46</f>
        <v>851487.47364650632</v>
      </c>
      <c r="E41" s="45">
        <f ca="1">'график анн'!H46</f>
        <v>25421.603679988366</v>
      </c>
      <c r="F41" s="45">
        <f ca="1">'график анн'!F46</f>
        <v>11502.86983602315</v>
      </c>
      <c r="G41" s="45">
        <f ca="1">'график анн'!G46</f>
        <v>13918.733843965216</v>
      </c>
      <c r="H41" s="197" t="str">
        <f>'график анн'!L46</f>
        <v/>
      </c>
      <c r="I41" s="197" t="str">
        <f>'график анн'!M46</f>
        <v/>
      </c>
      <c r="J41" s="197" t="str">
        <f>'график анн'!N46</f>
        <v/>
      </c>
      <c r="K41" s="197" t="str">
        <f>'график анн'!O46</f>
        <v/>
      </c>
      <c r="L41" s="197" t="str">
        <f>'график анн'!I46</f>
        <v/>
      </c>
      <c r="M41" s="197" t="str">
        <f>'график анн'!J46</f>
        <v/>
      </c>
      <c r="N41" s="197" t="str">
        <f>'график анн'!K46</f>
        <v/>
      </c>
      <c r="O41" s="197" t="str">
        <f>'график анн'!L46</f>
        <v/>
      </c>
      <c r="P41" s="50" t="str">
        <f>'график анн'!Q46</f>
        <v/>
      </c>
      <c r="Q41" s="117" t="str">
        <f>'график анн'!R46</f>
        <v/>
      </c>
    </row>
    <row r="42" spans="1:17" x14ac:dyDescent="0.35">
      <c r="A42" s="124">
        <f>'график анн'!A47</f>
        <v>13</v>
      </c>
      <c r="B42" s="125">
        <f ca="1">'график анн'!C47</f>
        <v>44621</v>
      </c>
      <c r="C42" s="126">
        <f ca="1">'график анн'!D47</f>
        <v>28</v>
      </c>
      <c r="D42" s="45">
        <f ca="1">'график анн'!E47</f>
        <v>838470.05954151298</v>
      </c>
      <c r="E42" s="45">
        <f ca="1">'график анн'!H47</f>
        <v>25421.603679988366</v>
      </c>
      <c r="F42" s="45">
        <f ca="1">'график анн'!F47</f>
        <v>13017.414104993288</v>
      </c>
      <c r="G42" s="45">
        <f ca="1">'график анн'!G47</f>
        <v>12404.189574995078</v>
      </c>
      <c r="H42" s="197" t="str">
        <f>'график анн'!L47</f>
        <v/>
      </c>
      <c r="I42" s="197" t="str">
        <f>'график анн'!M47</f>
        <v/>
      </c>
      <c r="J42" s="197" t="str">
        <f>'график анн'!N47</f>
        <v/>
      </c>
      <c r="K42" s="197">
        <f>'график анн'!O47</f>
        <v>2500</v>
      </c>
      <c r="L42" s="197" t="str">
        <f>'график анн'!I47</f>
        <v/>
      </c>
      <c r="M42" s="197" t="str">
        <f>'график анн'!J47</f>
        <v/>
      </c>
      <c r="N42" s="197" t="str">
        <f>'график анн'!K47</f>
        <v/>
      </c>
      <c r="O42" s="197" t="str">
        <f>'график анн'!L47</f>
        <v/>
      </c>
      <c r="P42" s="50" t="str">
        <f>'график анн'!Q47</f>
        <v/>
      </c>
      <c r="Q42" s="117" t="str">
        <f>'график анн'!R47</f>
        <v/>
      </c>
    </row>
    <row r="43" spans="1:17" x14ac:dyDescent="0.35">
      <c r="A43" s="124">
        <f>'график анн'!A48</f>
        <v>14</v>
      </c>
      <c r="B43" s="125">
        <f ca="1">'график анн'!C48</f>
        <v>44652</v>
      </c>
      <c r="C43" s="126">
        <f ca="1">'график анн'!D48</f>
        <v>31</v>
      </c>
      <c r="D43" s="45">
        <f ca="1">'график анн'!E48</f>
        <v>826571.71447389433</v>
      </c>
      <c r="E43" s="45">
        <f ca="1">'график анн'!H48</f>
        <v>25421.603679988366</v>
      </c>
      <c r="F43" s="45">
        <f ca="1">'график анн'!F48</f>
        <v>11898.345067618686</v>
      </c>
      <c r="G43" s="45">
        <f ca="1">'график анн'!G48</f>
        <v>13523.25861236968</v>
      </c>
      <c r="H43" s="197" t="str">
        <f>'график анн'!L48</f>
        <v/>
      </c>
      <c r="I43" s="197" t="str">
        <f>'график анн'!M48</f>
        <v/>
      </c>
      <c r="J43" s="197" t="str">
        <f>'график анн'!N48</f>
        <v/>
      </c>
      <c r="K43" s="197" t="str">
        <f>'график анн'!O48</f>
        <v/>
      </c>
      <c r="L43" s="197" t="str">
        <f>'график анн'!I48</f>
        <v/>
      </c>
      <c r="M43" s="197" t="str">
        <f>'график анн'!J48</f>
        <v/>
      </c>
      <c r="N43" s="197" t="str">
        <f>'график анн'!K48</f>
        <v/>
      </c>
      <c r="O43" s="197" t="str">
        <f>'график анн'!L48</f>
        <v/>
      </c>
      <c r="P43" s="50" t="str">
        <f>'график анн'!Q48</f>
        <v/>
      </c>
      <c r="Q43" s="117" t="str">
        <f>'график анн'!R48</f>
        <v/>
      </c>
    </row>
    <row r="44" spans="1:17" x14ac:dyDescent="0.35">
      <c r="A44" s="124">
        <f>'график анн'!A49</f>
        <v>15</v>
      </c>
      <c r="B44" s="125">
        <f ca="1">'график анн'!C49</f>
        <v>44682</v>
      </c>
      <c r="C44" s="126">
        <f ca="1">'график анн'!D49</f>
        <v>30</v>
      </c>
      <c r="D44" s="45">
        <f ca="1">'график анн'!E49</f>
        <v>814051.42327981768</v>
      </c>
      <c r="E44" s="45">
        <f ca="1">'график анн'!H49</f>
        <v>25421.603679988366</v>
      </c>
      <c r="F44" s="45">
        <f ca="1">'график анн'!F49</f>
        <v>12520.291194076648</v>
      </c>
      <c r="G44" s="45">
        <f ca="1">'график анн'!G49</f>
        <v>12901.312485911718</v>
      </c>
      <c r="H44" s="197" t="str">
        <f>'график анн'!L49</f>
        <v/>
      </c>
      <c r="I44" s="197" t="str">
        <f>'график анн'!M49</f>
        <v/>
      </c>
      <c r="J44" s="197" t="str">
        <f>'график анн'!N49</f>
        <v/>
      </c>
      <c r="K44" s="197" t="str">
        <f>'график анн'!O49</f>
        <v/>
      </c>
      <c r="L44" s="197" t="str">
        <f>'график анн'!I49</f>
        <v/>
      </c>
      <c r="M44" s="197" t="str">
        <f>'график анн'!J49</f>
        <v/>
      </c>
      <c r="N44" s="197" t="str">
        <f>'график анн'!K49</f>
        <v/>
      </c>
      <c r="O44" s="197" t="str">
        <f>'график анн'!L49</f>
        <v/>
      </c>
      <c r="P44" s="50" t="str">
        <f>'график анн'!Q49</f>
        <v/>
      </c>
      <c r="Q44" s="117" t="str">
        <f>'график анн'!R49</f>
        <v/>
      </c>
    </row>
    <row r="45" spans="1:17" x14ac:dyDescent="0.35">
      <c r="A45" s="124">
        <f>'график анн'!A50</f>
        <v>16</v>
      </c>
      <c r="B45" s="125">
        <f ca="1">'график анн'!C50</f>
        <v>44713</v>
      </c>
      <c r="C45" s="126">
        <f ca="1">'график анн'!D50</f>
        <v>31</v>
      </c>
      <c r="D45" s="45">
        <f ca="1">'график анн'!E50</f>
        <v>801759.24240450317</v>
      </c>
      <c r="E45" s="45">
        <f ca="1">'график анн'!H50</f>
        <v>25421.603679988366</v>
      </c>
      <c r="F45" s="45">
        <f ca="1">'график анн'!F50</f>
        <v>12292.180875314505</v>
      </c>
      <c r="G45" s="45">
        <f ca="1">'график анн'!G50</f>
        <v>13129.422804673861</v>
      </c>
      <c r="H45" s="197" t="str">
        <f>'график анн'!L50</f>
        <v/>
      </c>
      <c r="I45" s="197" t="str">
        <f>'график анн'!M50</f>
        <v/>
      </c>
      <c r="J45" s="197" t="str">
        <f>'график анн'!N50</f>
        <v/>
      </c>
      <c r="K45" s="197" t="str">
        <f>'график анн'!O50</f>
        <v/>
      </c>
      <c r="L45" s="197" t="str">
        <f>'график анн'!I50</f>
        <v/>
      </c>
      <c r="M45" s="197" t="str">
        <f>'график анн'!J50</f>
        <v/>
      </c>
      <c r="N45" s="197" t="str">
        <f>'график анн'!K50</f>
        <v/>
      </c>
      <c r="O45" s="197" t="str">
        <f>'график анн'!L50</f>
        <v/>
      </c>
      <c r="P45" s="50" t="str">
        <f>'график анн'!Q50</f>
        <v/>
      </c>
      <c r="Q45" s="117" t="str">
        <f>'график анн'!R50</f>
        <v/>
      </c>
    </row>
    <row r="46" spans="1:17" x14ac:dyDescent="0.35">
      <c r="A46" s="124">
        <f>'график анн'!A51</f>
        <v>17</v>
      </c>
      <c r="B46" s="125">
        <f ca="1">'график анн'!C51</f>
        <v>44743</v>
      </c>
      <c r="C46" s="126">
        <f ca="1">'график анн'!D51</f>
        <v>30</v>
      </c>
      <c r="D46" s="45">
        <f ca="1">'график анн'!E51</f>
        <v>788851.6727080174</v>
      </c>
      <c r="E46" s="45">
        <f ca="1">'график анн'!H51</f>
        <v>25421.603679988366</v>
      </c>
      <c r="F46" s="45">
        <f ca="1">'график анн'!F51</f>
        <v>12907.569696485751</v>
      </c>
      <c r="G46" s="45">
        <f ca="1">'график анн'!G51</f>
        <v>12514.033983502615</v>
      </c>
      <c r="H46" s="197" t="str">
        <f>'график анн'!L51</f>
        <v/>
      </c>
      <c r="I46" s="197" t="str">
        <f>'график анн'!M51</f>
        <v/>
      </c>
      <c r="J46" s="197" t="str">
        <f>'график анн'!N51</f>
        <v/>
      </c>
      <c r="K46" s="197" t="str">
        <f>'график анн'!O51</f>
        <v/>
      </c>
      <c r="L46" s="197" t="str">
        <f>'график анн'!I51</f>
        <v/>
      </c>
      <c r="M46" s="197" t="str">
        <f>'график анн'!J51</f>
        <v/>
      </c>
      <c r="N46" s="197" t="str">
        <f>'график анн'!K51</f>
        <v/>
      </c>
      <c r="O46" s="197" t="str">
        <f>'график анн'!L51</f>
        <v/>
      </c>
      <c r="P46" s="50" t="str">
        <f>'график анн'!Q51</f>
        <v/>
      </c>
      <c r="Q46" s="117" t="str">
        <f>'график анн'!R51</f>
        <v/>
      </c>
    </row>
    <row r="47" spans="1:17" x14ac:dyDescent="0.35">
      <c r="A47" s="124">
        <f>'график анн'!A52</f>
        <v>18</v>
      </c>
      <c r="B47" s="125">
        <f ca="1">'график анн'!C52</f>
        <v>44774</v>
      </c>
      <c r="C47" s="126">
        <f ca="1">'график анн'!D52</f>
        <v>31</v>
      </c>
      <c r="D47" s="45">
        <f ca="1">'график анн'!E52</f>
        <v>776153.05782820669</v>
      </c>
      <c r="E47" s="45">
        <f ca="1">'график анн'!H52</f>
        <v>25421.603679988366</v>
      </c>
      <c r="F47" s="45">
        <f ca="1">'график анн'!F52</f>
        <v>12698.614879810755</v>
      </c>
      <c r="G47" s="45">
        <f ca="1">'график анн'!G52</f>
        <v>12722.988800177611</v>
      </c>
      <c r="H47" s="197" t="str">
        <f>'график анн'!L52</f>
        <v/>
      </c>
      <c r="I47" s="197" t="str">
        <f>'график анн'!M52</f>
        <v/>
      </c>
      <c r="J47" s="197" t="str">
        <f>'график анн'!N52</f>
        <v/>
      </c>
      <c r="K47" s="197" t="str">
        <f>'график анн'!O52</f>
        <v/>
      </c>
      <c r="L47" s="197" t="str">
        <f>'график анн'!I52</f>
        <v/>
      </c>
      <c r="M47" s="197" t="str">
        <f>'график анн'!J52</f>
        <v/>
      </c>
      <c r="N47" s="197" t="str">
        <f>'график анн'!K52</f>
        <v/>
      </c>
      <c r="O47" s="197" t="str">
        <f>'график анн'!L52</f>
        <v/>
      </c>
      <c r="P47" s="50" t="str">
        <f>'график анн'!Q52</f>
        <v/>
      </c>
      <c r="Q47" s="117" t="str">
        <f>'график анн'!R52</f>
        <v/>
      </c>
    </row>
    <row r="48" spans="1:17" x14ac:dyDescent="0.35">
      <c r="A48" s="124">
        <f>'график анн'!A53</f>
        <v>19</v>
      </c>
      <c r="B48" s="125">
        <f ca="1">'график анн'!C53</f>
        <v>44805</v>
      </c>
      <c r="C48" s="126">
        <f ca="1">'график анн'!D53</f>
        <v>31</v>
      </c>
      <c r="D48" s="45">
        <f ca="1">'график анн'!E53</f>
        <v>763249.63342528371</v>
      </c>
      <c r="E48" s="45">
        <f ca="1">'график анн'!H53</f>
        <v>25421.603679988366</v>
      </c>
      <c r="F48" s="45">
        <f ca="1">'график анн'!F53</f>
        <v>12903.424402922967</v>
      </c>
      <c r="G48" s="45">
        <f ca="1">'график анн'!G53</f>
        <v>12518.179277065399</v>
      </c>
      <c r="H48" s="197" t="str">
        <f>'график анн'!L53</f>
        <v/>
      </c>
      <c r="I48" s="197" t="str">
        <f>'график анн'!M53</f>
        <v/>
      </c>
      <c r="J48" s="197" t="str">
        <f>'график анн'!N53</f>
        <v/>
      </c>
      <c r="K48" s="197" t="str">
        <f>'график анн'!O53</f>
        <v/>
      </c>
      <c r="L48" s="197" t="str">
        <f>'график анн'!I53</f>
        <v/>
      </c>
      <c r="M48" s="197" t="str">
        <f>'график анн'!J53</f>
        <v/>
      </c>
      <c r="N48" s="197" t="str">
        <f>'график анн'!K53</f>
        <v/>
      </c>
      <c r="O48" s="197" t="str">
        <f>'график анн'!L53</f>
        <v/>
      </c>
      <c r="P48" s="50" t="str">
        <f>'график анн'!Q53</f>
        <v/>
      </c>
      <c r="Q48" s="117" t="str">
        <f>'график анн'!R53</f>
        <v/>
      </c>
    </row>
    <row r="49" spans="1:17" x14ac:dyDescent="0.35">
      <c r="A49" s="124">
        <f>'график анн'!A54</f>
        <v>20</v>
      </c>
      <c r="B49" s="125">
        <f ca="1">'график анн'!C54</f>
        <v>44835</v>
      </c>
      <c r="C49" s="126">
        <f ca="1">'график анн'!D54</f>
        <v>30</v>
      </c>
      <c r="D49" s="45">
        <f ca="1">'график анн'!E54</f>
        <v>749740.99731138803</v>
      </c>
      <c r="E49" s="45">
        <f ca="1">'график анн'!H54</f>
        <v>25421.603679988366</v>
      </c>
      <c r="F49" s="45">
        <f ca="1">'график анн'!F54</f>
        <v>13508.636113895651</v>
      </c>
      <c r="G49" s="45">
        <f ca="1">'график анн'!G54</f>
        <v>11912.967566092715</v>
      </c>
      <c r="H49" s="197" t="str">
        <f>'график анн'!L54</f>
        <v/>
      </c>
      <c r="I49" s="197" t="str">
        <f>'график анн'!M54</f>
        <v/>
      </c>
      <c r="J49" s="197" t="str">
        <f>'график анн'!N54</f>
        <v/>
      </c>
      <c r="K49" s="197" t="str">
        <f>'график анн'!O54</f>
        <v/>
      </c>
      <c r="L49" s="197" t="str">
        <f>'график анн'!I54</f>
        <v/>
      </c>
      <c r="M49" s="197" t="str">
        <f>'график анн'!J54</f>
        <v/>
      </c>
      <c r="N49" s="197" t="str">
        <f>'график анн'!K54</f>
        <v/>
      </c>
      <c r="O49" s="197" t="str">
        <f>'график анн'!L54</f>
        <v/>
      </c>
      <c r="P49" s="50" t="str">
        <f>'график анн'!Q54</f>
        <v/>
      </c>
      <c r="Q49" s="117" t="str">
        <f>'график анн'!R54</f>
        <v/>
      </c>
    </row>
    <row r="50" spans="1:17" x14ac:dyDescent="0.35">
      <c r="A50" s="124">
        <f>'график анн'!A55</f>
        <v>21</v>
      </c>
      <c r="B50" s="125">
        <f ca="1">'график анн'!C55</f>
        <v>44866</v>
      </c>
      <c r="C50" s="126">
        <f ca="1">'график анн'!D55</f>
        <v>31</v>
      </c>
      <c r="D50" s="45">
        <f ca="1">'график анн'!E55</f>
        <v>736411.58617132413</v>
      </c>
      <c r="E50" s="45">
        <f ca="1">'график анн'!H55</f>
        <v>25421.603679988366</v>
      </c>
      <c r="F50" s="45">
        <f ca="1">'график анн'!F55</f>
        <v>13329.411140063952</v>
      </c>
      <c r="G50" s="45">
        <f ca="1">'график анн'!G55</f>
        <v>12092.192539924414</v>
      </c>
      <c r="H50" s="197" t="str">
        <f>'график анн'!L55</f>
        <v/>
      </c>
      <c r="I50" s="197" t="str">
        <f>'график анн'!M55</f>
        <v/>
      </c>
      <c r="J50" s="197" t="str">
        <f>'график анн'!N55</f>
        <v/>
      </c>
      <c r="K50" s="197" t="str">
        <f>'график анн'!O55</f>
        <v/>
      </c>
      <c r="L50" s="197" t="str">
        <f>'график анн'!I55</f>
        <v/>
      </c>
      <c r="M50" s="197" t="str">
        <f>'график анн'!J55</f>
        <v/>
      </c>
      <c r="N50" s="197" t="str">
        <f>'график анн'!K55</f>
        <v/>
      </c>
      <c r="O50" s="197" t="str">
        <f>'график анн'!L55</f>
        <v/>
      </c>
      <c r="P50" s="50" t="str">
        <f>'график анн'!Q55</f>
        <v/>
      </c>
      <c r="Q50" s="117" t="str">
        <f>'график анн'!R55</f>
        <v/>
      </c>
    </row>
    <row r="51" spans="1:17" x14ac:dyDescent="0.35">
      <c r="A51" s="124">
        <f>'график анн'!A56</f>
        <v>22</v>
      </c>
      <c r="B51" s="125">
        <f ca="1">'график анн'!C56</f>
        <v>44896</v>
      </c>
      <c r="C51" s="126">
        <f ca="1">'график анн'!D56</f>
        <v>30</v>
      </c>
      <c r="D51" s="45">
        <f ca="1">'график анн'!E56</f>
        <v>722484.05593357701</v>
      </c>
      <c r="E51" s="45">
        <f ca="1">'график анн'!H56</f>
        <v>25421.603679988366</v>
      </c>
      <c r="F51" s="45">
        <f ca="1">'график анн'!F56</f>
        <v>13927.530237747176</v>
      </c>
      <c r="G51" s="45">
        <f ca="1">'график анн'!G56</f>
        <v>11494.07344224119</v>
      </c>
      <c r="H51" s="197" t="str">
        <f>'график анн'!L56</f>
        <v/>
      </c>
      <c r="I51" s="197" t="str">
        <f>'график анн'!M56</f>
        <v/>
      </c>
      <c r="J51" s="197" t="str">
        <f>'график анн'!N56</f>
        <v/>
      </c>
      <c r="K51" s="197" t="str">
        <f>'график анн'!O56</f>
        <v/>
      </c>
      <c r="L51" s="197" t="str">
        <f>'график анн'!I56</f>
        <v/>
      </c>
      <c r="M51" s="197" t="str">
        <f>'график анн'!J56</f>
        <v/>
      </c>
      <c r="N51" s="197" t="str">
        <f>'график анн'!K56</f>
        <v/>
      </c>
      <c r="O51" s="197" t="str">
        <f>'график анн'!L56</f>
        <v/>
      </c>
      <c r="P51" s="50" t="str">
        <f>'график анн'!Q56</f>
        <v/>
      </c>
      <c r="Q51" s="117" t="str">
        <f>'график анн'!R56</f>
        <v/>
      </c>
    </row>
    <row r="52" spans="1:17" x14ac:dyDescent="0.35">
      <c r="A52" s="124">
        <f>'график анн'!A57</f>
        <v>23</v>
      </c>
      <c r="B52" s="125">
        <f ca="1">'график анн'!C57</f>
        <v>44927</v>
      </c>
      <c r="C52" s="126">
        <f ca="1">'график анн'!D57</f>
        <v>31</v>
      </c>
      <c r="D52" s="45">
        <f ca="1">'график анн'!E57</f>
        <v>708715.03140119242</v>
      </c>
      <c r="E52" s="45">
        <f ca="1">'график анн'!H57</f>
        <v>25421.603679988366</v>
      </c>
      <c r="F52" s="45">
        <f ca="1">'график анн'!F57</f>
        <v>13769.024532384599</v>
      </c>
      <c r="G52" s="45">
        <f ca="1">'график анн'!G57</f>
        <v>11652.579147603767</v>
      </c>
      <c r="H52" s="197" t="str">
        <f>'график анн'!L57</f>
        <v/>
      </c>
      <c r="I52" s="197" t="str">
        <f>'график анн'!M57</f>
        <v/>
      </c>
      <c r="J52" s="197" t="str">
        <f>'график анн'!N57</f>
        <v/>
      </c>
      <c r="K52" s="197" t="str">
        <f>'график анн'!O57</f>
        <v/>
      </c>
      <c r="L52" s="197" t="str">
        <f>'график анн'!I57</f>
        <v/>
      </c>
      <c r="M52" s="197" t="str">
        <f>'график анн'!J57</f>
        <v/>
      </c>
      <c r="N52" s="197" t="str">
        <f>'график анн'!K57</f>
        <v/>
      </c>
      <c r="O52" s="197" t="str">
        <f>'график анн'!L57</f>
        <v/>
      </c>
      <c r="P52" s="50" t="str">
        <f>'график анн'!Q57</f>
        <v/>
      </c>
      <c r="Q52" s="117" t="str">
        <f>'график анн'!R57</f>
        <v/>
      </c>
    </row>
    <row r="53" spans="1:17" x14ac:dyDescent="0.35">
      <c r="A53" s="124">
        <f>'график анн'!A58</f>
        <v>24</v>
      </c>
      <c r="B53" s="125">
        <f ca="1">'график анн'!C58</f>
        <v>44958</v>
      </c>
      <c r="C53" s="126">
        <f ca="1">'график анн'!D58</f>
        <v>31</v>
      </c>
      <c r="D53" s="45">
        <f ca="1">'график анн'!E58</f>
        <v>694723.93325094564</v>
      </c>
      <c r="E53" s="45">
        <f ca="1">'график анн'!H58</f>
        <v>25421.603679988366</v>
      </c>
      <c r="F53" s="45">
        <f ca="1">'график анн'!F58</f>
        <v>13991.098150246777</v>
      </c>
      <c r="G53" s="45">
        <f ca="1">'график анн'!G58</f>
        <v>11430.505529741589</v>
      </c>
      <c r="H53" s="197" t="str">
        <f>'график анн'!L58</f>
        <v/>
      </c>
      <c r="I53" s="197" t="str">
        <f>'график анн'!M58</f>
        <v/>
      </c>
      <c r="J53" s="197" t="str">
        <f>'график анн'!N58</f>
        <v/>
      </c>
      <c r="K53" s="197" t="str">
        <f>'график анн'!O58</f>
        <v/>
      </c>
      <c r="L53" s="197" t="str">
        <f>'график анн'!I58</f>
        <v/>
      </c>
      <c r="M53" s="197" t="str">
        <f>'график анн'!J58</f>
        <v/>
      </c>
      <c r="N53" s="197" t="str">
        <f>'график анн'!K58</f>
        <v/>
      </c>
      <c r="O53" s="197" t="str">
        <f>'график анн'!L58</f>
        <v/>
      </c>
      <c r="P53" s="50" t="str">
        <f>'график анн'!Q58</f>
        <v/>
      </c>
      <c r="Q53" s="117" t="str">
        <f>'график анн'!R58</f>
        <v/>
      </c>
    </row>
    <row r="54" spans="1:17" x14ac:dyDescent="0.35">
      <c r="A54" s="124">
        <f>'график анн'!A59</f>
        <v>25</v>
      </c>
      <c r="B54" s="125">
        <f ca="1">'график анн'!C59</f>
        <v>44986</v>
      </c>
      <c r="C54" s="126">
        <f ca="1">'график анн'!D59</f>
        <v>28</v>
      </c>
      <c r="D54" s="45">
        <f ca="1">'график анн'!E59</f>
        <v>679422.83942816802</v>
      </c>
      <c r="E54" s="45">
        <f ca="1">'график анн'!H59</f>
        <v>25421.603679988366</v>
      </c>
      <c r="F54" s="45">
        <f ca="1">'график анн'!F59</f>
        <v>15301.093822777604</v>
      </c>
      <c r="G54" s="45">
        <f ca="1">'график анн'!G59</f>
        <v>10120.509857210762</v>
      </c>
      <c r="H54" s="197" t="str">
        <f>'график анн'!L59</f>
        <v/>
      </c>
      <c r="I54" s="197" t="str">
        <f>'график анн'!M59</f>
        <v/>
      </c>
      <c r="J54" s="197" t="str">
        <f>'график анн'!N59</f>
        <v/>
      </c>
      <c r="K54" s="197">
        <f>'график анн'!O59</f>
        <v>2500</v>
      </c>
      <c r="L54" s="197" t="str">
        <f>'график анн'!I59</f>
        <v/>
      </c>
      <c r="M54" s="197" t="str">
        <f>'график анн'!J59</f>
        <v/>
      </c>
      <c r="N54" s="197" t="str">
        <f>'график анн'!K59</f>
        <v/>
      </c>
      <c r="O54" s="197" t="str">
        <f>'график анн'!L59</f>
        <v/>
      </c>
      <c r="P54" s="50" t="str">
        <f>'график анн'!Q59</f>
        <v/>
      </c>
      <c r="Q54" s="117" t="str">
        <f>'график анн'!R59</f>
        <v/>
      </c>
    </row>
    <row r="55" spans="1:17" x14ac:dyDescent="0.35">
      <c r="A55" s="124">
        <f>'график анн'!A60</f>
        <v>26</v>
      </c>
      <c r="B55" s="125">
        <f ca="1">'график анн'!C60</f>
        <v>45017</v>
      </c>
      <c r="C55" s="126">
        <f ca="1">'график анн'!D60</f>
        <v>31</v>
      </c>
      <c r="D55" s="45">
        <f ca="1">'график анн'!E60</f>
        <v>664959.30236031581</v>
      </c>
      <c r="E55" s="45">
        <f ca="1">'график анн'!H60</f>
        <v>25421.603679988366</v>
      </c>
      <c r="F55" s="45">
        <f ca="1">'график анн'!F60</f>
        <v>14463.537067852249</v>
      </c>
      <c r="G55" s="45">
        <f ca="1">'график анн'!G60</f>
        <v>10958.066612136117</v>
      </c>
      <c r="H55" s="197" t="str">
        <f>'график анн'!L60</f>
        <v/>
      </c>
      <c r="I55" s="197" t="str">
        <f>'график анн'!M60</f>
        <v/>
      </c>
      <c r="J55" s="197" t="str">
        <f>'график анн'!N60</f>
        <v/>
      </c>
      <c r="K55" s="197" t="str">
        <f>'график анн'!O60</f>
        <v/>
      </c>
      <c r="L55" s="197" t="str">
        <f>'график анн'!I60</f>
        <v/>
      </c>
      <c r="M55" s="197" t="str">
        <f>'график анн'!J60</f>
        <v/>
      </c>
      <c r="N55" s="197" t="str">
        <f>'график анн'!K60</f>
        <v/>
      </c>
      <c r="O55" s="197" t="str">
        <f>'график анн'!L60</f>
        <v/>
      </c>
      <c r="P55" s="50" t="str">
        <f>'график анн'!Q60</f>
        <v/>
      </c>
      <c r="Q55" s="117" t="str">
        <f>'график анн'!R60</f>
        <v/>
      </c>
    </row>
    <row r="56" spans="1:17" x14ac:dyDescent="0.35">
      <c r="A56" s="124">
        <f>'график анн'!A61</f>
        <v>27</v>
      </c>
      <c r="B56" s="125">
        <f ca="1">'график анн'!C61</f>
        <v>45047</v>
      </c>
      <c r="C56" s="126">
        <f ca="1">'график анн'!D61</f>
        <v>30</v>
      </c>
      <c r="D56" s="45">
        <f ca="1">'график анн'!E61</f>
        <v>649916.52921607182</v>
      </c>
      <c r="E56" s="45">
        <f ca="1">'график анн'!H61</f>
        <v>25421.603679988366</v>
      </c>
      <c r="F56" s="45">
        <f ca="1">'график анн'!F61</f>
        <v>15042.773144243927</v>
      </c>
      <c r="G56" s="45">
        <f ca="1">'график анн'!G61</f>
        <v>10378.830535744439</v>
      </c>
      <c r="H56" s="197" t="str">
        <f>'график анн'!L61</f>
        <v/>
      </c>
      <c r="I56" s="197" t="str">
        <f>'график анн'!M61</f>
        <v/>
      </c>
      <c r="J56" s="197" t="str">
        <f>'график анн'!N61</f>
        <v/>
      </c>
      <c r="K56" s="197" t="str">
        <f>'график анн'!O61</f>
        <v/>
      </c>
      <c r="L56" s="197" t="str">
        <f>'график анн'!I61</f>
        <v/>
      </c>
      <c r="M56" s="197" t="str">
        <f>'график анн'!J61</f>
        <v/>
      </c>
      <c r="N56" s="197" t="str">
        <f>'график анн'!K61</f>
        <v/>
      </c>
      <c r="O56" s="197" t="str">
        <f>'график анн'!L61</f>
        <v/>
      </c>
      <c r="P56" s="50" t="str">
        <f>'график анн'!Q61</f>
        <v/>
      </c>
      <c r="Q56" s="117" t="str">
        <f>'график анн'!R61</f>
        <v/>
      </c>
    </row>
    <row r="57" spans="1:17" x14ac:dyDescent="0.35">
      <c r="A57" s="124">
        <f>'график анн'!A62</f>
        <v>28</v>
      </c>
      <c r="B57" s="125">
        <f ca="1">'график анн'!C62</f>
        <v>45078</v>
      </c>
      <c r="C57" s="126">
        <f ca="1">'график анн'!D62</f>
        <v>31</v>
      </c>
      <c r="D57" s="45">
        <f ca="1">'график анн'!E62</f>
        <v>634977.09982606175</v>
      </c>
      <c r="E57" s="45">
        <f ca="1">'график анн'!H62</f>
        <v>25421.603679988366</v>
      </c>
      <c r="F57" s="45">
        <f ca="1">'график анн'!F62</f>
        <v>14939.429390010027</v>
      </c>
      <c r="G57" s="45">
        <f ca="1">'график анн'!G62</f>
        <v>10482.174289978338</v>
      </c>
      <c r="H57" s="197" t="str">
        <f>'график анн'!L62</f>
        <v/>
      </c>
      <c r="I57" s="197" t="str">
        <f>'график анн'!M62</f>
        <v/>
      </c>
      <c r="J57" s="197" t="str">
        <f>'график анн'!N62</f>
        <v/>
      </c>
      <c r="K57" s="197" t="str">
        <f>'график анн'!O62</f>
        <v/>
      </c>
      <c r="L57" s="197" t="str">
        <f>'график анн'!I62</f>
        <v/>
      </c>
      <c r="M57" s="197" t="str">
        <f>'график анн'!J62</f>
        <v/>
      </c>
      <c r="N57" s="197" t="str">
        <f>'график анн'!K62</f>
        <v/>
      </c>
      <c r="O57" s="197" t="str">
        <f>'график анн'!L62</f>
        <v/>
      </c>
      <c r="P57" s="50" t="str">
        <f>'график анн'!Q62</f>
        <v/>
      </c>
      <c r="Q57" s="117" t="str">
        <f>'график анн'!R62</f>
        <v/>
      </c>
    </row>
    <row r="58" spans="1:17" x14ac:dyDescent="0.35">
      <c r="A58" s="124">
        <f>'график анн'!A63</f>
        <v>29</v>
      </c>
      <c r="B58" s="125">
        <f ca="1">'график анн'!C63</f>
        <v>45108</v>
      </c>
      <c r="C58" s="126">
        <f ca="1">'график анн'!D63</f>
        <v>30</v>
      </c>
      <c r="D58" s="45">
        <f ca="1">'график анн'!E63</f>
        <v>619466.35789322155</v>
      </c>
      <c r="E58" s="45">
        <f ca="1">'график анн'!H63</f>
        <v>25421.603679988366</v>
      </c>
      <c r="F58" s="45">
        <f ca="1">'график анн'!F63</f>
        <v>15510.741932840217</v>
      </c>
      <c r="G58" s="45">
        <f ca="1">'график анн'!G63</f>
        <v>9910.8617471481484</v>
      </c>
      <c r="H58" s="197" t="str">
        <f>'график анн'!L63</f>
        <v/>
      </c>
      <c r="I58" s="197" t="str">
        <f>'график анн'!M63</f>
        <v/>
      </c>
      <c r="J58" s="197" t="str">
        <f>'график анн'!N63</f>
        <v/>
      </c>
      <c r="K58" s="197" t="str">
        <f>'график анн'!O63</f>
        <v/>
      </c>
      <c r="L58" s="197" t="str">
        <f>'график анн'!I63</f>
        <v/>
      </c>
      <c r="M58" s="197" t="str">
        <f>'график анн'!J63</f>
        <v/>
      </c>
      <c r="N58" s="197" t="str">
        <f>'график анн'!K63</f>
        <v/>
      </c>
      <c r="O58" s="197" t="str">
        <f>'график анн'!L63</f>
        <v/>
      </c>
      <c r="P58" s="50" t="str">
        <f>'график анн'!Q63</f>
        <v/>
      </c>
      <c r="Q58" s="117" t="str">
        <f>'график анн'!R63</f>
        <v/>
      </c>
    </row>
    <row r="59" spans="1:17" x14ac:dyDescent="0.35">
      <c r="A59" s="124">
        <f>'график анн'!A64</f>
        <v>30</v>
      </c>
      <c r="B59" s="125">
        <f ca="1">'график анн'!C64</f>
        <v>45139</v>
      </c>
      <c r="C59" s="126">
        <f ca="1">'график анн'!D64</f>
        <v>31</v>
      </c>
      <c r="D59" s="45">
        <f ca="1">'график анн'!E64</f>
        <v>604035.81312359369</v>
      </c>
      <c r="E59" s="45">
        <f ca="1">'график анн'!H64</f>
        <v>25421.603679988366</v>
      </c>
      <c r="F59" s="45">
        <f ca="1">'график анн'!F64</f>
        <v>15430.544769627801</v>
      </c>
      <c r="G59" s="45">
        <f ca="1">'график анн'!G64</f>
        <v>9991.0589103605653</v>
      </c>
      <c r="H59" s="197" t="str">
        <f>'график анн'!L64</f>
        <v/>
      </c>
      <c r="I59" s="197" t="str">
        <f>'график анн'!M64</f>
        <v/>
      </c>
      <c r="J59" s="197" t="str">
        <f>'график анн'!N64</f>
        <v/>
      </c>
      <c r="K59" s="197" t="str">
        <f>'график анн'!O64</f>
        <v/>
      </c>
      <c r="L59" s="197" t="str">
        <f>'график анн'!I64</f>
        <v/>
      </c>
      <c r="M59" s="197" t="str">
        <f>'график анн'!J64</f>
        <v/>
      </c>
      <c r="N59" s="197" t="str">
        <f>'график анн'!K64</f>
        <v/>
      </c>
      <c r="O59" s="197" t="str">
        <f>'график анн'!L64</f>
        <v/>
      </c>
      <c r="P59" s="50" t="str">
        <f>'график анн'!Q64</f>
        <v/>
      </c>
      <c r="Q59" s="117" t="str">
        <f>'график анн'!R64</f>
        <v/>
      </c>
    </row>
    <row r="60" spans="1:17" x14ac:dyDescent="0.35">
      <c r="A60" s="124">
        <f>'график анн'!A65</f>
        <v>31</v>
      </c>
      <c r="B60" s="125">
        <f ca="1">'график анн'!C65</f>
        <v>45170</v>
      </c>
      <c r="C60" s="126">
        <f ca="1">'график анн'!D65</f>
        <v>31</v>
      </c>
      <c r="D60" s="45">
        <f ca="1">'график анн'!E65</f>
        <v>588356.39691833756</v>
      </c>
      <c r="E60" s="45">
        <f ca="1">'график анн'!H65</f>
        <v>25421.603679988366</v>
      </c>
      <c r="F60" s="45">
        <f ca="1">'график анн'!F65</f>
        <v>15679.416205256081</v>
      </c>
      <c r="G60" s="45">
        <f ca="1">'график анн'!G65</f>
        <v>9742.1874747322854</v>
      </c>
      <c r="H60" s="197" t="str">
        <f>'график анн'!L65</f>
        <v/>
      </c>
      <c r="I60" s="197" t="str">
        <f>'график анн'!M65</f>
        <v/>
      </c>
      <c r="J60" s="197" t="str">
        <f>'график анн'!N65</f>
        <v/>
      </c>
      <c r="K60" s="197" t="str">
        <f>'график анн'!O65</f>
        <v/>
      </c>
      <c r="L60" s="197" t="str">
        <f>'график анн'!I65</f>
        <v/>
      </c>
      <c r="M60" s="197" t="str">
        <f>'график анн'!J65</f>
        <v/>
      </c>
      <c r="N60" s="197" t="str">
        <f>'график анн'!K65</f>
        <v/>
      </c>
      <c r="O60" s="197" t="str">
        <f>'график анн'!L65</f>
        <v/>
      </c>
      <c r="P60" s="50" t="str">
        <f>'график анн'!Q65</f>
        <v/>
      </c>
      <c r="Q60" s="117" t="str">
        <f>'график анн'!R65</f>
        <v/>
      </c>
    </row>
    <row r="61" spans="1:17" x14ac:dyDescent="0.35">
      <c r="A61" s="124">
        <f>'график анн'!A66</f>
        <v>32</v>
      </c>
      <c r="B61" s="125">
        <f ca="1">'график анн'!C66</f>
        <v>45200</v>
      </c>
      <c r="C61" s="126">
        <f ca="1">'график анн'!D66</f>
        <v>30</v>
      </c>
      <c r="D61" s="45">
        <f ca="1">'график анн'!E66</f>
        <v>572117.98883627728</v>
      </c>
      <c r="E61" s="45">
        <f ca="1">'график анн'!H66</f>
        <v>25421.603679988366</v>
      </c>
      <c r="F61" s="45">
        <f ca="1">'график анн'!F66</f>
        <v>16238.40808206023</v>
      </c>
      <c r="G61" s="45">
        <f ca="1">'график анн'!G66</f>
        <v>9183.1955979281356</v>
      </c>
      <c r="H61" s="197" t="str">
        <f>'график анн'!L66</f>
        <v/>
      </c>
      <c r="I61" s="197" t="str">
        <f>'график анн'!M66</f>
        <v/>
      </c>
      <c r="J61" s="197" t="str">
        <f>'график анн'!N66</f>
        <v/>
      </c>
      <c r="K61" s="197" t="str">
        <f>'график анн'!O66</f>
        <v/>
      </c>
      <c r="L61" s="197" t="str">
        <f>'график анн'!I66</f>
        <v/>
      </c>
      <c r="M61" s="197" t="str">
        <f>'график анн'!J66</f>
        <v/>
      </c>
      <c r="N61" s="197" t="str">
        <f>'график анн'!K66</f>
        <v/>
      </c>
      <c r="O61" s="197" t="str">
        <f>'график анн'!L66</f>
        <v/>
      </c>
      <c r="P61" s="50" t="str">
        <f>'график анн'!Q66</f>
        <v/>
      </c>
      <c r="Q61" s="117" t="str">
        <f>'график анн'!R66</f>
        <v/>
      </c>
    </row>
    <row r="62" spans="1:17" x14ac:dyDescent="0.35">
      <c r="A62" s="124">
        <f>'график анн'!A67</f>
        <v>33</v>
      </c>
      <c r="B62" s="125">
        <f ca="1">'график анн'!C67</f>
        <v>45231</v>
      </c>
      <c r="C62" s="126">
        <f ca="1">'график анн'!D67</f>
        <v>31</v>
      </c>
      <c r="D62" s="45">
        <f ca="1">'график анн'!E67</f>
        <v>555923.78622061841</v>
      </c>
      <c r="E62" s="45">
        <f ca="1">'график анн'!H67</f>
        <v>25421.603679988366</v>
      </c>
      <c r="F62" s="45">
        <f ca="1">'график анн'!F67</f>
        <v>16194.202615658829</v>
      </c>
      <c r="G62" s="45">
        <f ca="1">'график анн'!G67</f>
        <v>9227.4010643295369</v>
      </c>
      <c r="H62" s="197" t="str">
        <f>'график анн'!L67</f>
        <v/>
      </c>
      <c r="I62" s="197" t="str">
        <f>'график анн'!M67</f>
        <v/>
      </c>
      <c r="J62" s="197" t="str">
        <f>'график анн'!N67</f>
        <v/>
      </c>
      <c r="K62" s="197" t="str">
        <f>'график анн'!O67</f>
        <v/>
      </c>
      <c r="L62" s="197" t="str">
        <f>'график анн'!I67</f>
        <v/>
      </c>
      <c r="M62" s="197" t="str">
        <f>'график анн'!J67</f>
        <v/>
      </c>
      <c r="N62" s="197" t="str">
        <f>'график анн'!K67</f>
        <v/>
      </c>
      <c r="O62" s="197" t="str">
        <f>'график анн'!L67</f>
        <v/>
      </c>
      <c r="P62" s="50" t="str">
        <f>'график анн'!Q67</f>
        <v/>
      </c>
      <c r="Q62" s="117" t="str">
        <f>'график анн'!R67</f>
        <v/>
      </c>
    </row>
    <row r="63" spans="1:17" x14ac:dyDescent="0.35">
      <c r="A63" s="124">
        <f>'график анн'!A68</f>
        <v>34</v>
      </c>
      <c r="B63" s="125">
        <f ca="1">'график анн'!C68</f>
        <v>45261</v>
      </c>
      <c r="C63" s="126">
        <f ca="1">'график анн'!D68</f>
        <v>30</v>
      </c>
      <c r="D63" s="45">
        <f ca="1">'график анн'!E68</f>
        <v>539179.1628422708</v>
      </c>
      <c r="E63" s="45">
        <f ca="1">'график анн'!H68</f>
        <v>25421.603679988366</v>
      </c>
      <c r="F63" s="45">
        <f ca="1">'график анн'!F68</f>
        <v>16744.623378347645</v>
      </c>
      <c r="G63" s="45">
        <f ca="1">'график анн'!G68</f>
        <v>8676.9803016407204</v>
      </c>
      <c r="H63" s="197" t="str">
        <f>'график анн'!L68</f>
        <v/>
      </c>
      <c r="I63" s="197" t="str">
        <f>'график анн'!M68</f>
        <v/>
      </c>
      <c r="J63" s="197" t="str">
        <f>'график анн'!N68</f>
        <v/>
      </c>
      <c r="K63" s="197" t="str">
        <f>'график анн'!O68</f>
        <v/>
      </c>
      <c r="L63" s="197" t="str">
        <f>'график анн'!I68</f>
        <v/>
      </c>
      <c r="M63" s="197" t="str">
        <f>'график анн'!J68</f>
        <v/>
      </c>
      <c r="N63" s="197" t="str">
        <f>'график анн'!K68</f>
        <v/>
      </c>
      <c r="O63" s="197" t="str">
        <f>'график анн'!L68</f>
        <v/>
      </c>
      <c r="P63" s="50" t="str">
        <f>'график анн'!Q68</f>
        <v/>
      </c>
      <c r="Q63" s="117" t="str">
        <f>'график анн'!R68</f>
        <v/>
      </c>
    </row>
    <row r="64" spans="1:17" x14ac:dyDescent="0.35">
      <c r="A64" s="124">
        <f>'график анн'!A69</f>
        <v>35</v>
      </c>
      <c r="B64" s="125">
        <f ca="1">'график анн'!C69</f>
        <v>45292</v>
      </c>
      <c r="C64" s="126">
        <f ca="1">'график анн'!D69</f>
        <v>31</v>
      </c>
      <c r="D64" s="45">
        <f ca="1">'график анн'!E69</f>
        <v>522429.9466315069</v>
      </c>
      <c r="E64" s="45">
        <f ca="1">'график анн'!H69</f>
        <v>25421.603679988366</v>
      </c>
      <c r="F64" s="45">
        <f ca="1">'график анн'!F69</f>
        <v>16749.216210763872</v>
      </c>
      <c r="G64" s="45">
        <f ca="1">'график анн'!G69</f>
        <v>8672.3874692244935</v>
      </c>
      <c r="H64" s="197" t="str">
        <f>'график анн'!L69</f>
        <v/>
      </c>
      <c r="I64" s="197" t="str">
        <f>'график анн'!M69</f>
        <v/>
      </c>
      <c r="J64" s="197" t="str">
        <f>'график анн'!N69</f>
        <v/>
      </c>
      <c r="K64" s="197" t="str">
        <f>'график анн'!O69</f>
        <v/>
      </c>
      <c r="L64" s="197" t="str">
        <f>'график анн'!I69</f>
        <v/>
      </c>
      <c r="M64" s="197" t="str">
        <f>'график анн'!J69</f>
        <v/>
      </c>
      <c r="N64" s="197" t="str">
        <f>'график анн'!K69</f>
        <v/>
      </c>
      <c r="O64" s="197" t="str">
        <f>'график анн'!L69</f>
        <v/>
      </c>
      <c r="P64" s="50" t="str">
        <f>'график анн'!Q69</f>
        <v/>
      </c>
      <c r="Q64" s="117" t="str">
        <f>'график анн'!R69</f>
        <v/>
      </c>
    </row>
    <row r="65" spans="1:17" x14ac:dyDescent="0.35">
      <c r="A65" s="124">
        <f>'график анн'!A70</f>
        <v>36</v>
      </c>
      <c r="B65" s="125">
        <f ca="1">'график анн'!C70</f>
        <v>45323</v>
      </c>
      <c r="C65" s="126">
        <f ca="1">'график анн'!D70</f>
        <v>31</v>
      </c>
      <c r="D65" s="45">
        <f ca="1">'график анн'!E70</f>
        <v>505411.32888819894</v>
      </c>
      <c r="E65" s="45">
        <f ca="1">'график анн'!H70</f>
        <v>25421.603679988366</v>
      </c>
      <c r="F65" s="45">
        <f ca="1">'график анн'!F70</f>
        <v>17018.617743307987</v>
      </c>
      <c r="G65" s="45">
        <f ca="1">'график анн'!G70</f>
        <v>8402.9859366803776</v>
      </c>
      <c r="H65" s="197" t="str">
        <f>'график анн'!L70</f>
        <v/>
      </c>
      <c r="I65" s="197" t="str">
        <f>'график анн'!M70</f>
        <v/>
      </c>
      <c r="J65" s="197" t="str">
        <f>'график анн'!N70</f>
        <v/>
      </c>
      <c r="K65" s="197" t="str">
        <f>'график анн'!O70</f>
        <v/>
      </c>
      <c r="L65" s="197" t="str">
        <f>'график анн'!I70</f>
        <v/>
      </c>
      <c r="M65" s="197" t="str">
        <f>'график анн'!J70</f>
        <v/>
      </c>
      <c r="N65" s="197" t="str">
        <f>'график анн'!K70</f>
        <v/>
      </c>
      <c r="O65" s="197" t="str">
        <f>'график анн'!L70</f>
        <v/>
      </c>
      <c r="P65" s="50" t="str">
        <f>'график анн'!Q70</f>
        <v/>
      </c>
      <c r="Q65" s="117" t="str">
        <f>'график анн'!R70</f>
        <v/>
      </c>
    </row>
    <row r="66" spans="1:17" x14ac:dyDescent="0.35">
      <c r="A66" s="124">
        <f>'график анн'!A71</f>
        <v>37</v>
      </c>
      <c r="B66" s="125">
        <f ca="1">'график анн'!C71</f>
        <v>45352</v>
      </c>
      <c r="C66" s="126">
        <f ca="1">'график анн'!D71</f>
        <v>29</v>
      </c>
      <c r="D66" s="45">
        <f ca="1">'график анн'!E71</f>
        <v>487594.50862165377</v>
      </c>
      <c r="E66" s="45">
        <f ca="1">'график анн'!H71</f>
        <v>25421.603679988366</v>
      </c>
      <c r="F66" s="45">
        <f ca="1">'график анн'!F71</f>
        <v>17816.820266545194</v>
      </c>
      <c r="G66" s="45">
        <f ca="1">'график анн'!G71</f>
        <v>7604.7834134431714</v>
      </c>
      <c r="H66" s="197" t="str">
        <f>'график анн'!L71</f>
        <v/>
      </c>
      <c r="I66" s="197" t="str">
        <f>'график анн'!M71</f>
        <v/>
      </c>
      <c r="J66" s="197" t="str">
        <f>'график анн'!N71</f>
        <v/>
      </c>
      <c r="K66" s="197">
        <f>'график анн'!O71</f>
        <v>2500</v>
      </c>
      <c r="L66" s="197" t="str">
        <f>'график анн'!I71</f>
        <v/>
      </c>
      <c r="M66" s="197" t="str">
        <f>'график анн'!J71</f>
        <v/>
      </c>
      <c r="N66" s="197" t="str">
        <f>'график анн'!K71</f>
        <v/>
      </c>
      <c r="O66" s="197" t="str">
        <f>'график анн'!L71</f>
        <v/>
      </c>
      <c r="P66" s="50" t="str">
        <f>'график анн'!Q71</f>
        <v/>
      </c>
      <c r="Q66" s="117" t="str">
        <f>'график анн'!R71</f>
        <v/>
      </c>
    </row>
    <row r="67" spans="1:17" x14ac:dyDescent="0.35">
      <c r="A67" s="124">
        <f>'график анн'!A72</f>
        <v>38</v>
      </c>
      <c r="B67" s="125">
        <f ca="1">'график анн'!C72</f>
        <v>45383</v>
      </c>
      <c r="C67" s="126">
        <f ca="1">'график анн'!D72</f>
        <v>31</v>
      </c>
      <c r="D67" s="45">
        <f ca="1">'график анн'!E72</f>
        <v>470015.5828455037</v>
      </c>
      <c r="E67" s="45">
        <f ca="1">'график анн'!H72</f>
        <v>25421.603679988366</v>
      </c>
      <c r="F67" s="45">
        <f ca="1">'график анн'!F72</f>
        <v>17578.925776150078</v>
      </c>
      <c r="G67" s="45">
        <f ca="1">'график анн'!G72</f>
        <v>7842.6779038382892</v>
      </c>
      <c r="H67" s="197" t="str">
        <f>'график анн'!L72</f>
        <v/>
      </c>
      <c r="I67" s="197" t="str">
        <f>'график анн'!M72</f>
        <v/>
      </c>
      <c r="J67" s="197" t="str">
        <f>'график анн'!N72</f>
        <v/>
      </c>
      <c r="K67" s="197" t="str">
        <f>'график анн'!O72</f>
        <v/>
      </c>
      <c r="L67" s="197" t="str">
        <f>'график анн'!I72</f>
        <v/>
      </c>
      <c r="M67" s="197" t="str">
        <f>'график анн'!J72</f>
        <v/>
      </c>
      <c r="N67" s="197" t="str">
        <f>'график анн'!K72</f>
        <v/>
      </c>
      <c r="O67" s="197" t="str">
        <f>'график анн'!L72</f>
        <v/>
      </c>
      <c r="P67" s="50" t="str">
        <f>'график анн'!Q72</f>
        <v/>
      </c>
      <c r="Q67" s="117" t="str">
        <f>'график анн'!R72</f>
        <v/>
      </c>
    </row>
    <row r="68" spans="1:17" x14ac:dyDescent="0.35">
      <c r="A68" s="124">
        <f>'график анн'!A73</f>
        <v>39</v>
      </c>
      <c r="B68" s="125">
        <f ca="1">'график анн'!C73</f>
        <v>45413</v>
      </c>
      <c r="C68" s="126">
        <f ca="1">'график анн'!D73</f>
        <v>30</v>
      </c>
      <c r="D68" s="45">
        <f ca="1">'график анн'!E73</f>
        <v>451910.0413935777</v>
      </c>
      <c r="E68" s="45">
        <f ca="1">'график анн'!H73</f>
        <v>25421.603679988366</v>
      </c>
      <c r="F68" s="45">
        <f ca="1">'график анн'!F73</f>
        <v>18105.541451925976</v>
      </c>
      <c r="G68" s="45">
        <f ca="1">'график анн'!G73</f>
        <v>7316.0622280623902</v>
      </c>
      <c r="H68" s="197" t="str">
        <f>'график анн'!L73</f>
        <v/>
      </c>
      <c r="I68" s="197" t="str">
        <f>'график анн'!M73</f>
        <v/>
      </c>
      <c r="J68" s="197" t="str">
        <f>'график анн'!N73</f>
        <v/>
      </c>
      <c r="K68" s="197" t="str">
        <f>'график анн'!O73</f>
        <v/>
      </c>
      <c r="L68" s="197" t="str">
        <f>'график анн'!I73</f>
        <v/>
      </c>
      <c r="M68" s="197" t="str">
        <f>'график анн'!J73</f>
        <v/>
      </c>
      <c r="N68" s="197" t="str">
        <f>'график анн'!K73</f>
        <v/>
      </c>
      <c r="O68" s="197" t="str">
        <f>'график анн'!L73</f>
        <v/>
      </c>
      <c r="P68" s="50" t="str">
        <f>'график анн'!Q73</f>
        <v/>
      </c>
      <c r="Q68" s="117" t="str">
        <f>'график анн'!R73</f>
        <v/>
      </c>
    </row>
    <row r="69" spans="1:17" x14ac:dyDescent="0.35">
      <c r="A69" s="124">
        <f>'график анн'!A74</f>
        <v>40</v>
      </c>
      <c r="B69" s="125">
        <f ca="1">'график анн'!C74</f>
        <v>45444</v>
      </c>
      <c r="C69" s="126">
        <f ca="1">'график анн'!D74</f>
        <v>31</v>
      </c>
      <c r="D69" s="45">
        <f ca="1">'график анн'!E74</f>
        <v>433757.15143675834</v>
      </c>
      <c r="E69" s="45">
        <f ca="1">'график анн'!H74</f>
        <v>25421.603679988366</v>
      </c>
      <c r="F69" s="45">
        <f ca="1">'график анн'!F74</f>
        <v>18152.88995681937</v>
      </c>
      <c r="G69" s="45">
        <f ca="1">'график анн'!G74</f>
        <v>7268.7137231689958</v>
      </c>
      <c r="H69" s="197" t="str">
        <f>'график анн'!L74</f>
        <v/>
      </c>
      <c r="I69" s="197" t="str">
        <f>'график анн'!M74</f>
        <v/>
      </c>
      <c r="J69" s="197" t="str">
        <f>'график анн'!N74</f>
        <v/>
      </c>
      <c r="K69" s="197" t="str">
        <f>'график анн'!O74</f>
        <v/>
      </c>
      <c r="L69" s="197" t="str">
        <f>'график анн'!I74</f>
        <v/>
      </c>
      <c r="M69" s="197" t="str">
        <f>'график анн'!J74</f>
        <v/>
      </c>
      <c r="N69" s="197" t="str">
        <f>'график анн'!K74</f>
        <v/>
      </c>
      <c r="O69" s="197" t="str">
        <f>'график анн'!L74</f>
        <v/>
      </c>
      <c r="P69" s="50" t="str">
        <f>'график анн'!Q74</f>
        <v/>
      </c>
      <c r="Q69" s="117" t="str">
        <f>'график анн'!R74</f>
        <v/>
      </c>
    </row>
    <row r="70" spans="1:17" x14ac:dyDescent="0.35">
      <c r="A70" s="124">
        <f>'график анн'!A75</f>
        <v>41</v>
      </c>
      <c r="B70" s="125">
        <f ca="1">'график анн'!C75</f>
        <v>45474</v>
      </c>
      <c r="C70" s="126">
        <f ca="1">'график анн'!D75</f>
        <v>30</v>
      </c>
      <c r="D70" s="45">
        <f ca="1">'график анн'!E75</f>
        <v>415087.22669593722</v>
      </c>
      <c r="E70" s="45">
        <f ca="1">'график анн'!H75</f>
        <v>25421.603679988366</v>
      </c>
      <c r="F70" s="45">
        <f ca="1">'график анн'!F75</f>
        <v>18669.924740821119</v>
      </c>
      <c r="G70" s="45">
        <f ca="1">'график анн'!G75</f>
        <v>6751.6789391672473</v>
      </c>
      <c r="H70" s="197" t="str">
        <f>'график анн'!L75</f>
        <v/>
      </c>
      <c r="I70" s="197" t="str">
        <f>'график анн'!M75</f>
        <v/>
      </c>
      <c r="J70" s="197" t="str">
        <f>'график анн'!N75</f>
        <v/>
      </c>
      <c r="K70" s="197" t="str">
        <f>'график анн'!O75</f>
        <v/>
      </c>
      <c r="L70" s="197" t="str">
        <f>'график анн'!I75</f>
        <v/>
      </c>
      <c r="M70" s="197" t="str">
        <f>'график анн'!J75</f>
        <v/>
      </c>
      <c r="N70" s="197" t="str">
        <f>'график анн'!K75</f>
        <v/>
      </c>
      <c r="O70" s="197" t="str">
        <f>'график анн'!L75</f>
        <v/>
      </c>
      <c r="P70" s="50" t="str">
        <f>'график анн'!Q75</f>
        <v/>
      </c>
      <c r="Q70" s="117" t="str">
        <f>'график анн'!R75</f>
        <v/>
      </c>
    </row>
    <row r="71" spans="1:17" x14ac:dyDescent="0.35">
      <c r="A71" s="124">
        <f>'график анн'!A76</f>
        <v>42</v>
      </c>
      <c r="B71" s="125">
        <f ca="1">'график анн'!C76</f>
        <v>45505</v>
      </c>
      <c r="C71" s="126">
        <f ca="1">'график анн'!D76</f>
        <v>31</v>
      </c>
      <c r="D71" s="45">
        <f ca="1">'график анн'!E76</f>
        <v>396342.06289255078</v>
      </c>
      <c r="E71" s="45">
        <f ca="1">'график анн'!H76</f>
        <v>25421.603679988366</v>
      </c>
      <c r="F71" s="45">
        <f ca="1">'график анн'!F76</f>
        <v>18745.163803386418</v>
      </c>
      <c r="G71" s="45">
        <f ca="1">'график анн'!G76</f>
        <v>6676.4398766019476</v>
      </c>
      <c r="H71" s="197" t="str">
        <f>'график анн'!L76</f>
        <v/>
      </c>
      <c r="I71" s="197" t="str">
        <f>'график анн'!M76</f>
        <v/>
      </c>
      <c r="J71" s="197" t="str">
        <f>'график анн'!N76</f>
        <v/>
      </c>
      <c r="K71" s="197" t="str">
        <f>'график анн'!O76</f>
        <v/>
      </c>
      <c r="L71" s="197" t="str">
        <f>'график анн'!I76</f>
        <v/>
      </c>
      <c r="M71" s="197" t="str">
        <f>'график анн'!J76</f>
        <v/>
      </c>
      <c r="N71" s="197" t="str">
        <f>'график анн'!K76</f>
        <v/>
      </c>
      <c r="O71" s="197" t="str">
        <f>'график анн'!L76</f>
        <v/>
      </c>
      <c r="P71" s="50" t="str">
        <f>'график анн'!Q76</f>
        <v/>
      </c>
      <c r="Q71" s="117" t="str">
        <f>'график анн'!R76</f>
        <v/>
      </c>
    </row>
    <row r="72" spans="1:17" x14ac:dyDescent="0.35">
      <c r="A72" s="124">
        <f>'график анн'!A77</f>
        <v>43</v>
      </c>
      <c r="B72" s="125">
        <f ca="1">'график анн'!C77</f>
        <v>45536</v>
      </c>
      <c r="C72" s="126">
        <f ca="1">'график анн'!D77</f>
        <v>31</v>
      </c>
      <c r="D72" s="45">
        <f ca="1">'график анн'!E77</f>
        <v>377295.39388480876</v>
      </c>
      <c r="E72" s="45">
        <f ca="1">'график анн'!H77</f>
        <v>25421.603679988366</v>
      </c>
      <c r="F72" s="45">
        <f ca="1">'график анн'!F77</f>
        <v>19046.669007742035</v>
      </c>
      <c r="G72" s="45">
        <f ca="1">'график анн'!G77</f>
        <v>6374.9346722463324</v>
      </c>
      <c r="H72" s="197" t="str">
        <f>'график анн'!L77</f>
        <v/>
      </c>
      <c r="I72" s="197" t="str">
        <f>'график анн'!M77</f>
        <v/>
      </c>
      <c r="J72" s="197" t="str">
        <f>'график анн'!N77</f>
        <v/>
      </c>
      <c r="K72" s="197" t="str">
        <f>'график анн'!O77</f>
        <v/>
      </c>
      <c r="L72" s="197" t="str">
        <f>'график анн'!I77</f>
        <v/>
      </c>
      <c r="M72" s="197" t="str">
        <f>'график анн'!J77</f>
        <v/>
      </c>
      <c r="N72" s="197" t="str">
        <f>'график анн'!K77</f>
        <v/>
      </c>
      <c r="O72" s="197" t="str">
        <f>'график анн'!L77</f>
        <v/>
      </c>
      <c r="P72" s="50" t="str">
        <f>'график анн'!Q77</f>
        <v/>
      </c>
      <c r="Q72" s="117" t="str">
        <f>'график анн'!R77</f>
        <v/>
      </c>
    </row>
    <row r="73" spans="1:17" x14ac:dyDescent="0.35">
      <c r="A73" s="124">
        <f>'график анн'!A78</f>
        <v>44</v>
      </c>
      <c r="B73" s="125">
        <f ca="1">'график анн'!C78</f>
        <v>45566</v>
      </c>
      <c r="C73" s="126">
        <f ca="1">'график анн'!D78</f>
        <v>30</v>
      </c>
      <c r="D73" s="45">
        <f ca="1">'график анн'!E78</f>
        <v>357746.60949160112</v>
      </c>
      <c r="E73" s="45">
        <f ca="1">'график анн'!H78</f>
        <v>25421.603679988366</v>
      </c>
      <c r="F73" s="45">
        <f ca="1">'график анн'!F78</f>
        <v>19548.784393207614</v>
      </c>
      <c r="G73" s="45">
        <f ca="1">'график анн'!G78</f>
        <v>5872.8192867807529</v>
      </c>
      <c r="H73" s="197" t="str">
        <f>'график анн'!L78</f>
        <v/>
      </c>
      <c r="I73" s="197" t="str">
        <f>'график анн'!M78</f>
        <v/>
      </c>
      <c r="J73" s="197" t="str">
        <f>'график анн'!N78</f>
        <v/>
      </c>
      <c r="K73" s="197" t="str">
        <f>'график анн'!O78</f>
        <v/>
      </c>
      <c r="L73" s="197" t="str">
        <f>'график анн'!I78</f>
        <v/>
      </c>
      <c r="M73" s="197" t="str">
        <f>'график анн'!J78</f>
        <v/>
      </c>
      <c r="N73" s="197" t="str">
        <f>'график анн'!K78</f>
        <v/>
      </c>
      <c r="O73" s="197" t="str">
        <f>'график анн'!L78</f>
        <v/>
      </c>
      <c r="P73" s="50" t="str">
        <f>'график анн'!Q78</f>
        <v/>
      </c>
      <c r="Q73" s="117" t="str">
        <f>'график анн'!R78</f>
        <v/>
      </c>
    </row>
    <row r="74" spans="1:17" x14ac:dyDescent="0.35">
      <c r="A74" s="124">
        <f>'график анн'!A79</f>
        <v>45</v>
      </c>
      <c r="B74" s="125">
        <f ca="1">'график анн'!C79</f>
        <v>45597</v>
      </c>
      <c r="C74" s="126">
        <f ca="1">'график анн'!D79</f>
        <v>31</v>
      </c>
      <c r="D74" s="45">
        <f ca="1">'график анн'!E79</f>
        <v>338079.15476083709</v>
      </c>
      <c r="E74" s="45">
        <f ca="1">'график анн'!H79</f>
        <v>25421.603679988366</v>
      </c>
      <c r="F74" s="45">
        <f ca="1">'график анн'!F79</f>
        <v>19667.454730764031</v>
      </c>
      <c r="G74" s="45">
        <f ca="1">'график анн'!G79</f>
        <v>5754.1489492243354</v>
      </c>
      <c r="H74" s="197" t="str">
        <f>'график анн'!L79</f>
        <v/>
      </c>
      <c r="I74" s="197" t="str">
        <f>'график анн'!M79</f>
        <v/>
      </c>
      <c r="J74" s="197" t="str">
        <f>'график анн'!N79</f>
        <v/>
      </c>
      <c r="K74" s="197" t="str">
        <f>'график анн'!O79</f>
        <v/>
      </c>
      <c r="L74" s="197" t="str">
        <f>'график анн'!I79</f>
        <v/>
      </c>
      <c r="M74" s="197" t="str">
        <f>'график анн'!J79</f>
        <v/>
      </c>
      <c r="N74" s="197" t="str">
        <f>'график анн'!K79</f>
        <v/>
      </c>
      <c r="O74" s="197" t="str">
        <f>'график анн'!L79</f>
        <v/>
      </c>
      <c r="P74" s="50" t="str">
        <f>'график анн'!Q79</f>
        <v/>
      </c>
      <c r="Q74" s="117" t="str">
        <f>'график анн'!R79</f>
        <v/>
      </c>
    </row>
    <row r="75" spans="1:17" x14ac:dyDescent="0.35">
      <c r="A75" s="124">
        <f>'график анн'!A80</f>
        <v>46</v>
      </c>
      <c r="B75" s="125">
        <f ca="1">'график анн'!C80</f>
        <v>45627</v>
      </c>
      <c r="C75" s="126">
        <f ca="1">'график анн'!D80</f>
        <v>30</v>
      </c>
      <c r="D75" s="45">
        <f ca="1">'график анн'!E80</f>
        <v>317919.94710454403</v>
      </c>
      <c r="E75" s="45">
        <f ca="1">'график анн'!H80</f>
        <v>25421.603679988366</v>
      </c>
      <c r="F75" s="45">
        <f ca="1">'график анн'!F80</f>
        <v>20159.207656293042</v>
      </c>
      <c r="G75" s="45">
        <f ca="1">'график анн'!G80</f>
        <v>5262.3960236953244</v>
      </c>
      <c r="H75" s="197" t="str">
        <f>'график анн'!L80</f>
        <v/>
      </c>
      <c r="I75" s="197" t="str">
        <f>'график анн'!M80</f>
        <v/>
      </c>
      <c r="J75" s="197" t="str">
        <f>'график анн'!N80</f>
        <v/>
      </c>
      <c r="K75" s="197" t="str">
        <f>'график анн'!O80</f>
        <v/>
      </c>
      <c r="L75" s="197" t="str">
        <f>'график анн'!I80</f>
        <v/>
      </c>
      <c r="M75" s="197" t="str">
        <f>'график анн'!J80</f>
        <v/>
      </c>
      <c r="N75" s="197" t="str">
        <f>'график анн'!K80</f>
        <v/>
      </c>
      <c r="O75" s="197" t="str">
        <f>'график анн'!L80</f>
        <v/>
      </c>
      <c r="P75" s="50" t="str">
        <f>'график анн'!Q80</f>
        <v/>
      </c>
      <c r="Q75" s="117" t="str">
        <f>'график анн'!R80</f>
        <v/>
      </c>
    </row>
    <row r="76" spans="1:17" x14ac:dyDescent="0.35">
      <c r="A76" s="124">
        <f>'график анн'!A81</f>
        <v>47</v>
      </c>
      <c r="B76" s="125">
        <f ca="1">'график анн'!C81</f>
        <v>45658</v>
      </c>
      <c r="C76" s="126">
        <f ca="1">'график анн'!D81</f>
        <v>31</v>
      </c>
      <c r="D76" s="45">
        <f ca="1">'график анн'!E81</f>
        <v>297625.91311389743</v>
      </c>
      <c r="E76" s="45">
        <f ca="1">'график анн'!H81</f>
        <v>25421.603679988366</v>
      </c>
      <c r="F76" s="45">
        <f ca="1">'график анн'!F81</f>
        <v>20294.033990646611</v>
      </c>
      <c r="G76" s="45">
        <f ca="1">'график анн'!G81</f>
        <v>5127.5696893417553</v>
      </c>
      <c r="H76" s="197" t="str">
        <f>'график анн'!L81</f>
        <v/>
      </c>
      <c r="I76" s="197" t="str">
        <f>'график анн'!M81</f>
        <v/>
      </c>
      <c r="J76" s="197" t="str">
        <f>'график анн'!N81</f>
        <v/>
      </c>
      <c r="K76" s="197" t="str">
        <f>'график анн'!O81</f>
        <v/>
      </c>
      <c r="L76" s="197" t="str">
        <f>'график анн'!I81</f>
        <v/>
      </c>
      <c r="M76" s="197" t="str">
        <f>'график анн'!J81</f>
        <v/>
      </c>
      <c r="N76" s="197" t="str">
        <f>'график анн'!K81</f>
        <v/>
      </c>
      <c r="O76" s="197" t="str">
        <f>'график анн'!L81</f>
        <v/>
      </c>
      <c r="P76" s="50" t="str">
        <f>'график анн'!Q81</f>
        <v/>
      </c>
      <c r="Q76" s="117" t="str">
        <f>'график анн'!R81</f>
        <v/>
      </c>
    </row>
    <row r="77" spans="1:17" x14ac:dyDescent="0.35">
      <c r="A77" s="124">
        <f>'график анн'!A82</f>
        <v>48</v>
      </c>
      <c r="B77" s="125">
        <f ca="1">'график анн'!C82</f>
        <v>45689</v>
      </c>
      <c r="C77" s="126">
        <f ca="1">'график анн'!D82</f>
        <v>31</v>
      </c>
      <c r="D77" s="45">
        <f ca="1">'график анн'!E82</f>
        <v>277004.5669350329</v>
      </c>
      <c r="E77" s="45">
        <f ca="1">'график анн'!H82</f>
        <v>25421.603679988366</v>
      </c>
      <c r="F77" s="45">
        <f ca="1">'график анн'!F82</f>
        <v>20621.346178864522</v>
      </c>
      <c r="G77" s="45">
        <f ca="1">'график анн'!G82</f>
        <v>4800.2575011238432</v>
      </c>
      <c r="H77" s="197" t="str">
        <f>'график анн'!L82</f>
        <v/>
      </c>
      <c r="I77" s="197" t="str">
        <f>'график анн'!M82</f>
        <v/>
      </c>
      <c r="J77" s="197" t="str">
        <f>'график анн'!N82</f>
        <v/>
      </c>
      <c r="K77" s="197" t="str">
        <f>'график анн'!O82</f>
        <v/>
      </c>
      <c r="L77" s="197" t="str">
        <f>'график анн'!I82</f>
        <v/>
      </c>
      <c r="M77" s="197" t="str">
        <f>'график анн'!J82</f>
        <v/>
      </c>
      <c r="N77" s="197" t="str">
        <f>'график анн'!K82</f>
        <v/>
      </c>
      <c r="O77" s="197" t="str">
        <f>'график анн'!L82</f>
        <v/>
      </c>
      <c r="P77" s="50" t="str">
        <f>'график анн'!Q82</f>
        <v/>
      </c>
      <c r="Q77" s="117" t="str">
        <f>'график анн'!R82</f>
        <v/>
      </c>
    </row>
    <row r="78" spans="1:17" x14ac:dyDescent="0.35">
      <c r="A78" s="124">
        <f>'график анн'!A83</f>
        <v>49</v>
      </c>
      <c r="B78" s="125">
        <f ca="1">'график анн'!C83</f>
        <v>45717</v>
      </c>
      <c r="C78" s="126">
        <f ca="1">'график анн'!D83</f>
        <v>28</v>
      </c>
      <c r="D78" s="45">
        <f ca="1">'график анн'!E83</f>
        <v>255618.27471615947</v>
      </c>
      <c r="E78" s="45">
        <f ca="1">'график анн'!H83</f>
        <v>25421.603679988366</v>
      </c>
      <c r="F78" s="45">
        <f ca="1">'график анн'!F83</f>
        <v>21386.292218873416</v>
      </c>
      <c r="G78" s="45">
        <f ca="1">'график анн'!G83</f>
        <v>4035.3114611149508</v>
      </c>
      <c r="H78" s="197" t="str">
        <f>'график анн'!L83</f>
        <v/>
      </c>
      <c r="I78" s="197" t="str">
        <f>'график анн'!M83</f>
        <v/>
      </c>
      <c r="J78" s="197" t="str">
        <f>'график анн'!N83</f>
        <v/>
      </c>
      <c r="K78" s="197">
        <f>'график анн'!O83</f>
        <v>2500</v>
      </c>
      <c r="L78" s="197" t="str">
        <f>'график анн'!I83</f>
        <v/>
      </c>
      <c r="M78" s="197" t="str">
        <f>'график анн'!J83</f>
        <v/>
      </c>
      <c r="N78" s="197" t="str">
        <f>'график анн'!K83</f>
        <v/>
      </c>
      <c r="O78" s="197" t="str">
        <f>'график анн'!L83</f>
        <v/>
      </c>
      <c r="P78" s="50" t="str">
        <f>'график анн'!Q83</f>
        <v/>
      </c>
      <c r="Q78" s="117" t="str">
        <f>'график анн'!R83</f>
        <v/>
      </c>
    </row>
    <row r="79" spans="1:17" x14ac:dyDescent="0.35">
      <c r="A79" s="124">
        <f>'график анн'!A84</f>
        <v>50</v>
      </c>
      <c r="B79" s="125">
        <f ca="1">'график анн'!C84</f>
        <v>45748</v>
      </c>
      <c r="C79" s="126">
        <f ca="1">'график анн'!D84</f>
        <v>31</v>
      </c>
      <c r="D79" s="45">
        <f ca="1">'график анн'!E84</f>
        <v>234319.40862912059</v>
      </c>
      <c r="E79" s="45">
        <f ca="1">'график анн'!H84</f>
        <v>25421.603679988366</v>
      </c>
      <c r="F79" s="45">
        <f ca="1">'график анн'!F84</f>
        <v>21298.866087038889</v>
      </c>
      <c r="G79" s="45">
        <f ca="1">'график анн'!G84</f>
        <v>4122.7375929494774</v>
      </c>
      <c r="H79" s="197" t="str">
        <f>'график анн'!L84</f>
        <v/>
      </c>
      <c r="I79" s="197" t="str">
        <f>'график анн'!M84</f>
        <v/>
      </c>
      <c r="J79" s="197" t="str">
        <f>'график анн'!N84</f>
        <v/>
      </c>
      <c r="K79" s="197" t="str">
        <f>'график анн'!O84</f>
        <v/>
      </c>
      <c r="L79" s="197" t="str">
        <f>'график анн'!I84</f>
        <v/>
      </c>
      <c r="M79" s="197" t="str">
        <f>'график анн'!J84</f>
        <v/>
      </c>
      <c r="N79" s="197" t="str">
        <f>'график анн'!K84</f>
        <v/>
      </c>
      <c r="O79" s="197" t="str">
        <f>'график анн'!L84</f>
        <v/>
      </c>
      <c r="P79" s="50" t="str">
        <f>'график анн'!Q84</f>
        <v/>
      </c>
      <c r="Q79" s="117" t="str">
        <f>'график анн'!R84</f>
        <v/>
      </c>
    </row>
    <row r="80" spans="1:17" x14ac:dyDescent="0.35">
      <c r="A80" s="124">
        <f>'график анн'!A85</f>
        <v>51</v>
      </c>
      <c r="B80" s="125">
        <f ca="1">'график анн'!C85</f>
        <v>45778</v>
      </c>
      <c r="C80" s="126">
        <f ca="1">'график анн'!D85</f>
        <v>30</v>
      </c>
      <c r="D80" s="45">
        <f ca="1">'график анн'!E85</f>
        <v>212555.11363669415</v>
      </c>
      <c r="E80" s="45">
        <f ca="1">'график анн'!H85</f>
        <v>25421.603679988366</v>
      </c>
      <c r="F80" s="45">
        <f ca="1">'график анн'!F85</f>
        <v>21764.294992426447</v>
      </c>
      <c r="G80" s="45">
        <f ca="1">'график анн'!G85</f>
        <v>3657.3086875619174</v>
      </c>
      <c r="H80" s="197" t="str">
        <f>'график анн'!L85</f>
        <v/>
      </c>
      <c r="I80" s="197" t="str">
        <f>'график анн'!M85</f>
        <v/>
      </c>
      <c r="J80" s="197" t="str">
        <f>'график анн'!N85</f>
        <v/>
      </c>
      <c r="K80" s="197" t="str">
        <f>'график анн'!O85</f>
        <v/>
      </c>
      <c r="L80" s="197" t="str">
        <f>'график анн'!I85</f>
        <v/>
      </c>
      <c r="M80" s="197" t="str">
        <f>'график анн'!J85</f>
        <v/>
      </c>
      <c r="N80" s="197" t="str">
        <f>'график анн'!K85</f>
        <v/>
      </c>
      <c r="O80" s="197" t="str">
        <f>'график анн'!L85</f>
        <v/>
      </c>
      <c r="P80" s="50" t="str">
        <f>'график анн'!Q85</f>
        <v/>
      </c>
      <c r="Q80" s="117" t="str">
        <f>'график анн'!R85</f>
        <v/>
      </c>
    </row>
    <row r="81" spans="1:17" x14ac:dyDescent="0.35">
      <c r="A81" s="124">
        <f>'график анн'!A86</f>
        <v>52</v>
      </c>
      <c r="B81" s="125">
        <f ca="1">'график анн'!C86</f>
        <v>45809</v>
      </c>
      <c r="C81" s="126">
        <f ca="1">'график анн'!D86</f>
        <v>31</v>
      </c>
      <c r="D81" s="45">
        <f ca="1">'график анн'!E86</f>
        <v>190561.70365113826</v>
      </c>
      <c r="E81" s="45">
        <f ca="1">'график анн'!H86</f>
        <v>25421.603679988366</v>
      </c>
      <c r="F81" s="45">
        <f ca="1">'график анн'!F86</f>
        <v>21993.409985555885</v>
      </c>
      <c r="G81" s="45">
        <f ca="1">'график анн'!G86</f>
        <v>3428.1936944324793</v>
      </c>
      <c r="H81" s="197" t="str">
        <f>'график анн'!L86</f>
        <v/>
      </c>
      <c r="I81" s="197" t="str">
        <f>'график анн'!M86</f>
        <v/>
      </c>
      <c r="J81" s="197" t="str">
        <f>'график анн'!N86</f>
        <v/>
      </c>
      <c r="K81" s="197" t="str">
        <f>'график анн'!O86</f>
        <v/>
      </c>
      <c r="L81" s="197" t="str">
        <f>'график анн'!I86</f>
        <v/>
      </c>
      <c r="M81" s="197" t="str">
        <f>'график анн'!J86</f>
        <v/>
      </c>
      <c r="N81" s="197" t="str">
        <f>'график анн'!K86</f>
        <v/>
      </c>
      <c r="O81" s="197" t="str">
        <f>'график анн'!L86</f>
        <v/>
      </c>
      <c r="P81" s="50" t="str">
        <f>'график анн'!Q86</f>
        <v/>
      </c>
      <c r="Q81" s="117" t="str">
        <f>'график анн'!R86</f>
        <v/>
      </c>
    </row>
    <row r="82" spans="1:17" x14ac:dyDescent="0.35">
      <c r="A82" s="124">
        <f>'график анн'!A87</f>
        <v>53</v>
      </c>
      <c r="B82" s="125">
        <f ca="1">'график анн'!C87</f>
        <v>45839</v>
      </c>
      <c r="C82" s="126">
        <f ca="1">'график анн'!D87</f>
        <v>30</v>
      </c>
      <c r="D82" s="45">
        <f ca="1">'график анн'!E87</f>
        <v>168114.4288086856</v>
      </c>
      <c r="E82" s="45">
        <f ca="1">'график анн'!H87</f>
        <v>25421.603679988366</v>
      </c>
      <c r="F82" s="45">
        <f ca="1">'график анн'!F87</f>
        <v>22447.274842452654</v>
      </c>
      <c r="G82" s="45">
        <f ca="1">'график анн'!G87</f>
        <v>2974.3288375357115</v>
      </c>
      <c r="H82" s="197" t="str">
        <f>'график анн'!L87</f>
        <v/>
      </c>
      <c r="I82" s="197" t="str">
        <f>'график анн'!M87</f>
        <v/>
      </c>
      <c r="J82" s="197" t="str">
        <f>'график анн'!N87</f>
        <v/>
      </c>
      <c r="K82" s="197" t="str">
        <f>'график анн'!O87</f>
        <v/>
      </c>
      <c r="L82" s="197" t="str">
        <f>'график анн'!I87</f>
        <v/>
      </c>
      <c r="M82" s="197" t="str">
        <f>'график анн'!J87</f>
        <v/>
      </c>
      <c r="N82" s="197" t="str">
        <f>'график анн'!K87</f>
        <v/>
      </c>
      <c r="O82" s="197" t="str">
        <f>'график анн'!L87</f>
        <v/>
      </c>
      <c r="P82" s="50" t="str">
        <f>'график анн'!Q87</f>
        <v/>
      </c>
      <c r="Q82" s="117" t="str">
        <f>'график анн'!R87</f>
        <v/>
      </c>
    </row>
    <row r="83" spans="1:17" x14ac:dyDescent="0.35">
      <c r="A83" s="124">
        <f>'график анн'!A88</f>
        <v>54</v>
      </c>
      <c r="B83" s="125">
        <f ca="1">'график анн'!C88</f>
        <v>45870</v>
      </c>
      <c r="C83" s="126">
        <f ca="1">'график анн'!D88</f>
        <v>31</v>
      </c>
      <c r="D83" s="45">
        <f ca="1">'график анн'!E88</f>
        <v>145404.25754226942</v>
      </c>
      <c r="E83" s="45">
        <f ca="1">'график анн'!H88</f>
        <v>25421.603679988366</v>
      </c>
      <c r="F83" s="45">
        <f ca="1">'график анн'!F88</f>
        <v>22710.171266416171</v>
      </c>
      <c r="G83" s="45">
        <f ca="1">'график анн'!G88</f>
        <v>2711.4324135721954</v>
      </c>
      <c r="H83" s="197" t="str">
        <f>'график анн'!L88</f>
        <v/>
      </c>
      <c r="I83" s="197" t="str">
        <f>'график анн'!M88</f>
        <v/>
      </c>
      <c r="J83" s="197" t="str">
        <f>'график анн'!N88</f>
        <v/>
      </c>
      <c r="K83" s="197" t="str">
        <f>'график анн'!O88</f>
        <v/>
      </c>
      <c r="L83" s="197" t="str">
        <f>'график анн'!I88</f>
        <v/>
      </c>
      <c r="M83" s="197" t="str">
        <f>'график анн'!J88</f>
        <v/>
      </c>
      <c r="N83" s="197" t="str">
        <f>'график анн'!K88</f>
        <v/>
      </c>
      <c r="O83" s="197" t="str">
        <f>'график анн'!L88</f>
        <v/>
      </c>
      <c r="P83" s="50" t="str">
        <f>'график анн'!Q88</f>
        <v/>
      </c>
      <c r="Q83" s="117" t="str">
        <f>'график анн'!R88</f>
        <v/>
      </c>
    </row>
    <row r="84" spans="1:17" x14ac:dyDescent="0.35">
      <c r="A84" s="124">
        <f>'график анн'!A89</f>
        <v>55</v>
      </c>
      <c r="B84" s="125">
        <f ca="1">'график анн'!C89</f>
        <v>45901</v>
      </c>
      <c r="C84" s="126">
        <f ca="1">'график анн'!D89</f>
        <v>31</v>
      </c>
      <c r="D84" s="45">
        <f ca="1">'график анн'!E89</f>
        <v>122327.80543413198</v>
      </c>
      <c r="E84" s="45">
        <f ca="1">'график анн'!H89</f>
        <v>25421.603679988366</v>
      </c>
      <c r="F84" s="45">
        <f ca="1">'график анн'!F89</f>
        <v>23076.452108137444</v>
      </c>
      <c r="G84" s="45">
        <f ca="1">'график анн'!G89</f>
        <v>2345.1515718509204</v>
      </c>
      <c r="H84" s="197" t="str">
        <f>'график анн'!L89</f>
        <v/>
      </c>
      <c r="I84" s="197" t="str">
        <f>'график анн'!M89</f>
        <v/>
      </c>
      <c r="J84" s="197" t="str">
        <f>'график анн'!N89</f>
        <v/>
      </c>
      <c r="K84" s="197" t="str">
        <f>'график анн'!O89</f>
        <v/>
      </c>
      <c r="L84" s="197" t="str">
        <f>'график анн'!I89</f>
        <v/>
      </c>
      <c r="M84" s="197" t="str">
        <f>'график анн'!J89</f>
        <v/>
      </c>
      <c r="N84" s="197" t="str">
        <f>'график анн'!K89</f>
        <v/>
      </c>
      <c r="O84" s="197" t="str">
        <f>'график анн'!L89</f>
        <v/>
      </c>
      <c r="P84" s="50" t="str">
        <f>'график анн'!Q89</f>
        <v/>
      </c>
      <c r="Q84" s="117" t="str">
        <f>'график анн'!R89</f>
        <v/>
      </c>
    </row>
    <row r="85" spans="1:17" x14ac:dyDescent="0.35">
      <c r="A85" s="124">
        <f>'график анн'!A90</f>
        <v>56</v>
      </c>
      <c r="B85" s="125">
        <f ca="1">'график анн'!C90</f>
        <v>45931</v>
      </c>
      <c r="C85" s="126">
        <f ca="1">'график анн'!D90</f>
        <v>30</v>
      </c>
      <c r="D85" s="45">
        <f ca="1">'график анн'!E90</f>
        <v>98815.520952933337</v>
      </c>
      <c r="E85" s="45">
        <f ca="1">'график анн'!H90</f>
        <v>25421.603679988366</v>
      </c>
      <c r="F85" s="45">
        <f ca="1">'график анн'!F90</f>
        <v>23512.28448119864</v>
      </c>
      <c r="G85" s="45">
        <f ca="1">'график анн'!G90</f>
        <v>1909.319198789726</v>
      </c>
      <c r="H85" s="197" t="str">
        <f>'график анн'!L90</f>
        <v/>
      </c>
      <c r="I85" s="197" t="str">
        <f>'график анн'!M90</f>
        <v/>
      </c>
      <c r="J85" s="197" t="str">
        <f>'график анн'!N90</f>
        <v/>
      </c>
      <c r="K85" s="197" t="str">
        <f>'график анн'!O90</f>
        <v/>
      </c>
      <c r="L85" s="197" t="str">
        <f>'график анн'!I90</f>
        <v/>
      </c>
      <c r="M85" s="197" t="str">
        <f>'график анн'!J90</f>
        <v/>
      </c>
      <c r="N85" s="197" t="str">
        <f>'график анн'!K90</f>
        <v/>
      </c>
      <c r="O85" s="197" t="str">
        <f>'график анн'!L90</f>
        <v/>
      </c>
      <c r="P85" s="50" t="str">
        <f>'график анн'!Q90</f>
        <v/>
      </c>
      <c r="Q85" s="117" t="str">
        <f>'график анн'!R90</f>
        <v/>
      </c>
    </row>
    <row r="86" spans="1:17" x14ac:dyDescent="0.35">
      <c r="A86" s="124">
        <f>'график анн'!A91</f>
        <v>57</v>
      </c>
      <c r="B86" s="125">
        <f ca="1">'график анн'!C91</f>
        <v>45962</v>
      </c>
      <c r="C86" s="126">
        <f ca="1">'график анн'!D91</f>
        <v>31</v>
      </c>
      <c r="D86" s="45">
        <f ca="1">'график анн'!E91</f>
        <v>74987.662725815724</v>
      </c>
      <c r="E86" s="45">
        <f ca="1">'график анн'!H91</f>
        <v>25421.603679988366</v>
      </c>
      <c r="F86" s="45">
        <f ca="1">'график анн'!F91</f>
        <v>23827.858227117616</v>
      </c>
      <c r="G86" s="45">
        <f ca="1">'график анн'!G91</f>
        <v>1593.7454528707487</v>
      </c>
      <c r="H86" s="197" t="str">
        <f>'график анн'!L91</f>
        <v/>
      </c>
      <c r="I86" s="197" t="str">
        <f>'график анн'!M91</f>
        <v/>
      </c>
      <c r="J86" s="197" t="str">
        <f>'график анн'!N91</f>
        <v/>
      </c>
      <c r="K86" s="197" t="str">
        <f>'график анн'!O91</f>
        <v/>
      </c>
      <c r="L86" s="197" t="str">
        <f>'график анн'!I91</f>
        <v/>
      </c>
      <c r="M86" s="197" t="str">
        <f>'график анн'!J91</f>
        <v/>
      </c>
      <c r="N86" s="197" t="str">
        <f>'график анн'!K91</f>
        <v/>
      </c>
      <c r="O86" s="197" t="str">
        <f>'график анн'!L91</f>
        <v/>
      </c>
      <c r="P86" s="50" t="str">
        <f>'график анн'!Q91</f>
        <v/>
      </c>
      <c r="Q86" s="117" t="str">
        <f>'график анн'!R91</f>
        <v/>
      </c>
    </row>
    <row r="87" spans="1:17" x14ac:dyDescent="0.35">
      <c r="A87" s="124">
        <f>'график анн'!A92</f>
        <v>58</v>
      </c>
      <c r="B87" s="125">
        <f ca="1">'график анн'!C92</f>
        <v>45992</v>
      </c>
      <c r="C87" s="126">
        <f ca="1">'график анн'!D92</f>
        <v>30</v>
      </c>
      <c r="D87" s="45">
        <f ca="1">'график анн'!E92</f>
        <v>50736.482921303992</v>
      </c>
      <c r="E87" s="45">
        <f ca="1">'график анн'!H92</f>
        <v>25421.603679988366</v>
      </c>
      <c r="F87" s="45">
        <f ca="1">'график анн'!F92</f>
        <v>24251.179804511728</v>
      </c>
      <c r="G87" s="45">
        <f ca="1">'график анн'!G92</f>
        <v>1170.4238754766361</v>
      </c>
      <c r="H87" s="197" t="str">
        <f>'график анн'!L92</f>
        <v/>
      </c>
      <c r="I87" s="197" t="str">
        <f>'график анн'!M92</f>
        <v/>
      </c>
      <c r="J87" s="197" t="str">
        <f>'график анн'!N92</f>
        <v/>
      </c>
      <c r="K87" s="197" t="str">
        <f>'график анн'!O92</f>
        <v/>
      </c>
      <c r="L87" s="197" t="str">
        <f>'график анн'!I92</f>
        <v/>
      </c>
      <c r="M87" s="197" t="str">
        <f>'график анн'!J92</f>
        <v/>
      </c>
      <c r="N87" s="197" t="str">
        <f>'график анн'!K92</f>
        <v/>
      </c>
      <c r="O87" s="197" t="str">
        <f>'график анн'!L92</f>
        <v/>
      </c>
      <c r="P87" s="50" t="str">
        <f>'график анн'!Q92</f>
        <v/>
      </c>
      <c r="Q87" s="117" t="str">
        <f>'график анн'!R92</f>
        <v/>
      </c>
    </row>
    <row r="88" spans="1:17" x14ac:dyDescent="0.35">
      <c r="A88" s="124">
        <f>'график анн'!A93</f>
        <v>59</v>
      </c>
      <c r="B88" s="125">
        <f ca="1">'график анн'!C93</f>
        <v>46023</v>
      </c>
      <c r="C88" s="126">
        <f ca="1">'график анн'!D93</f>
        <v>31</v>
      </c>
      <c r="D88" s="45">
        <f ca="1">'график анн'!E93</f>
        <v>26133.182258601722</v>
      </c>
      <c r="E88" s="45">
        <f ca="1">'график анн'!H93</f>
        <v>25421.603679988366</v>
      </c>
      <c r="F88" s="45">
        <f ca="1">'график анн'!F93</f>
        <v>24603.30066270227</v>
      </c>
      <c r="G88" s="45">
        <f ca="1">'график анн'!G93</f>
        <v>818.30301728609447</v>
      </c>
      <c r="H88" s="197" t="str">
        <f>'график анн'!L93</f>
        <v/>
      </c>
      <c r="I88" s="197" t="str">
        <f>'график анн'!M93</f>
        <v/>
      </c>
      <c r="J88" s="197" t="str">
        <f>'график анн'!N93</f>
        <v/>
      </c>
      <c r="K88" s="197" t="str">
        <f>'график анн'!O93</f>
        <v/>
      </c>
      <c r="L88" s="197" t="str">
        <f>'график анн'!I93</f>
        <v/>
      </c>
      <c r="M88" s="197" t="str">
        <f>'график анн'!J93</f>
        <v/>
      </c>
      <c r="N88" s="197" t="str">
        <f>'график анн'!K93</f>
        <v/>
      </c>
      <c r="O88" s="197" t="str">
        <f>'график анн'!L93</f>
        <v/>
      </c>
      <c r="P88" s="50" t="str">
        <f>'график анн'!Q93</f>
        <v/>
      </c>
      <c r="Q88" s="117" t="str">
        <f>'график анн'!R93</f>
        <v/>
      </c>
    </row>
    <row r="89" spans="1:17" x14ac:dyDescent="0.35">
      <c r="A89" s="124">
        <f>'график анн'!A94</f>
        <v>60</v>
      </c>
      <c r="B89" s="125">
        <f ca="1">'график анн'!C94</f>
        <v>46053</v>
      </c>
      <c r="C89" s="126">
        <f ca="1">'график анн'!D94</f>
        <v>30</v>
      </c>
      <c r="D89" s="45">
        <f ca="1">'график анн'!E94</f>
        <v>-2.7648638933897018E-10</v>
      </c>
      <c r="E89" s="45">
        <f ca="1">'график анн'!H94</f>
        <v>26541.074695115025</v>
      </c>
      <c r="F89" s="45">
        <f ca="1">'график анн'!F94</f>
        <v>26133.182258601999</v>
      </c>
      <c r="G89" s="45">
        <f ca="1">'график анн'!G94</f>
        <v>407.89243651302473</v>
      </c>
      <c r="H89" s="197" t="str">
        <f>'график анн'!L94</f>
        <v/>
      </c>
      <c r="I89" s="197" t="str">
        <f>'график анн'!M94</f>
        <v/>
      </c>
      <c r="J89" s="197" t="str">
        <f>'график анн'!N94</f>
        <v/>
      </c>
      <c r="K89" s="197" t="str">
        <f>'график анн'!O94</f>
        <v/>
      </c>
      <c r="L89" s="197" t="str">
        <f>'график анн'!I94</f>
        <v/>
      </c>
      <c r="M89" s="197" t="str">
        <f>'график анн'!J94</f>
        <v/>
      </c>
      <c r="N89" s="197" t="str">
        <f>'график анн'!K94</f>
        <v/>
      </c>
      <c r="O89" s="197" t="str">
        <f>'график анн'!L94</f>
        <v/>
      </c>
      <c r="P89" s="50" t="str">
        <f>'график анн'!Q94</f>
        <v/>
      </c>
      <c r="Q89" s="117" t="str">
        <f>'график анн'!R94</f>
        <v/>
      </c>
    </row>
    <row r="90" spans="1:17" x14ac:dyDescent="0.35">
      <c r="A90" s="124" t="str">
        <f>'график анн'!A95</f>
        <v/>
      </c>
      <c r="B90" s="125" t="str">
        <f ca="1">'график анн'!C95</f>
        <v/>
      </c>
      <c r="C90" s="126" t="str">
        <f>'график анн'!D95</f>
        <v/>
      </c>
      <c r="D90" s="45" t="str">
        <f>'график анн'!E95</f>
        <v/>
      </c>
      <c r="E90" s="45">
        <f ca="1">'график анн'!H95</f>
        <v>1500150.8807744633</v>
      </c>
      <c r="F90" s="45">
        <f ca="1">'график анн'!F95</f>
        <v>1000000</v>
      </c>
      <c r="G90" s="45">
        <f ca="1">'график анн'!G95</f>
        <v>500150.88077446329</v>
      </c>
      <c r="H90" s="197">
        <f>'график анн'!L95</f>
        <v>0</v>
      </c>
      <c r="I90" s="197">
        <f>'график анн'!M95</f>
        <v>10000</v>
      </c>
      <c r="J90" s="197">
        <f>'график анн'!N95</f>
        <v>0</v>
      </c>
      <c r="K90" s="197">
        <f>'график анн'!O95</f>
        <v>12500</v>
      </c>
      <c r="L90" s="196">
        <f>'график анн'!I95</f>
        <v>0</v>
      </c>
      <c r="M90" s="196">
        <f>'график анн'!J95</f>
        <v>0</v>
      </c>
      <c r="N90" s="196">
        <f>'график анн'!K95</f>
        <v>59900</v>
      </c>
      <c r="O90" s="196">
        <f>'график анн'!L95</f>
        <v>0</v>
      </c>
      <c r="P90" s="50">
        <f ca="1">'график анн'!Q95</f>
        <v>0.22757745385169983</v>
      </c>
      <c r="Q90" s="117">
        <f ca="1">'график анн'!R95</f>
        <v>1582550.8807744633</v>
      </c>
    </row>
    <row r="91" spans="1:17" x14ac:dyDescent="0.35">
      <c r="A91" s="124" t="str">
        <f>'график анн'!A96</f>
        <v/>
      </c>
      <c r="B91" s="125" t="str">
        <f ca="1">'график анн'!C96</f>
        <v/>
      </c>
      <c r="C91" s="126" t="str">
        <f>'график анн'!D96</f>
        <v/>
      </c>
      <c r="D91" s="45" t="str">
        <f>'график анн'!E96</f>
        <v/>
      </c>
      <c r="E91" s="45" t="str">
        <f>'график анн'!H96</f>
        <v/>
      </c>
      <c r="F91" s="45" t="str">
        <f>'график анн'!F96</f>
        <v/>
      </c>
      <c r="G91" s="45" t="str">
        <f>'график анн'!G96</f>
        <v/>
      </c>
      <c r="H91" s="45"/>
      <c r="I91" s="127" t="str">
        <f>'график анн'!M96</f>
        <v/>
      </c>
      <c r="J91" s="127"/>
      <c r="K91" s="127"/>
      <c r="L91" s="127"/>
      <c r="M91" s="127"/>
      <c r="N91" s="127"/>
      <c r="O91" s="127"/>
      <c r="P91" s="50" t="str">
        <f>'график анн'!Q96</f>
        <v/>
      </c>
      <c r="Q91" s="117" t="str">
        <f>'график анн'!R96</f>
        <v/>
      </c>
    </row>
    <row r="92" spans="1:17" x14ac:dyDescent="0.35">
      <c r="A92" s="124" t="str">
        <f>'график анн'!A97</f>
        <v/>
      </c>
      <c r="B92" s="125" t="str">
        <f ca="1">'график анн'!C97</f>
        <v/>
      </c>
      <c r="C92" s="126" t="str">
        <f>'график анн'!D97</f>
        <v/>
      </c>
      <c r="D92" s="45" t="str">
        <f>'график анн'!E97</f>
        <v/>
      </c>
      <c r="E92" s="45" t="str">
        <f>'график анн'!H97</f>
        <v/>
      </c>
      <c r="F92" s="45" t="str">
        <f>'график анн'!F97</f>
        <v/>
      </c>
      <c r="G92" s="45" t="str">
        <f>'график анн'!G97</f>
        <v/>
      </c>
      <c r="H92" s="45"/>
      <c r="I92" s="127" t="str">
        <f>'график анн'!M97</f>
        <v/>
      </c>
      <c r="J92" s="127"/>
      <c r="K92" s="127"/>
      <c r="L92" s="127"/>
      <c r="M92" s="127"/>
      <c r="N92" s="127"/>
      <c r="O92" s="127"/>
      <c r="P92" s="50" t="str">
        <f>'график анн'!Q97</f>
        <v/>
      </c>
      <c r="Q92" s="117" t="str">
        <f>'график анн'!R97</f>
        <v/>
      </c>
    </row>
    <row r="93" spans="1:17" x14ac:dyDescent="0.35">
      <c r="A93" s="124" t="str">
        <f>'график анн'!A98</f>
        <v/>
      </c>
      <c r="B93" s="125" t="str">
        <f ca="1">'график анн'!C98</f>
        <v/>
      </c>
      <c r="C93" s="126" t="str">
        <f>'график анн'!D98</f>
        <v/>
      </c>
      <c r="D93" s="45" t="str">
        <f>'график анн'!E98</f>
        <v/>
      </c>
      <c r="E93" s="45" t="str">
        <f>'график анн'!H98</f>
        <v/>
      </c>
      <c r="F93" s="45" t="str">
        <f>'график анн'!F98</f>
        <v/>
      </c>
      <c r="G93" s="45" t="str">
        <f>'график анн'!G98</f>
        <v/>
      </c>
      <c r="H93" s="45"/>
      <c r="I93" s="127" t="str">
        <f>'график анн'!M98</f>
        <v/>
      </c>
      <c r="J93" s="127"/>
      <c r="K93" s="127"/>
      <c r="L93" s="127"/>
      <c r="M93" s="127"/>
      <c r="N93" s="127"/>
      <c r="O93" s="127"/>
      <c r="P93" s="50" t="str">
        <f>'график анн'!Q98</f>
        <v/>
      </c>
      <c r="Q93" s="117" t="str">
        <f>'график анн'!R98</f>
        <v/>
      </c>
    </row>
    <row r="94" spans="1:17" x14ac:dyDescent="0.35">
      <c r="A94" s="124" t="str">
        <f>'график анн'!A99</f>
        <v/>
      </c>
      <c r="B94" s="125" t="str">
        <f ca="1">'график анн'!C99</f>
        <v/>
      </c>
      <c r="C94" s="126" t="str">
        <f>'график анн'!D99</f>
        <v/>
      </c>
      <c r="D94" s="45" t="str">
        <f>'график анн'!E99</f>
        <v/>
      </c>
      <c r="E94" s="45" t="str">
        <f>'график анн'!H99</f>
        <v/>
      </c>
      <c r="F94" s="45" t="str">
        <f>'график анн'!F99</f>
        <v/>
      </c>
      <c r="G94" s="45" t="str">
        <f>'график анн'!G99</f>
        <v/>
      </c>
      <c r="H94" s="45"/>
      <c r="I94" s="127" t="str">
        <f>'график анн'!M99</f>
        <v/>
      </c>
      <c r="J94" s="127"/>
      <c r="K94" s="127"/>
      <c r="L94" s="127"/>
      <c r="M94" s="127"/>
      <c r="N94" s="127"/>
      <c r="O94" s="127"/>
      <c r="P94" s="50" t="str">
        <f>'график анн'!Q99</f>
        <v/>
      </c>
      <c r="Q94" s="117" t="str">
        <f>'график анн'!R99</f>
        <v/>
      </c>
    </row>
    <row r="95" spans="1:17" x14ac:dyDescent="0.35">
      <c r="A95" s="124" t="str">
        <f>'график анн'!A100</f>
        <v/>
      </c>
      <c r="B95" s="125" t="str">
        <f ca="1">'график анн'!C100</f>
        <v/>
      </c>
      <c r="C95" s="126" t="str">
        <f>'график анн'!D100</f>
        <v/>
      </c>
      <c r="D95" s="45" t="str">
        <f>'график анн'!E100</f>
        <v/>
      </c>
      <c r="E95" s="45" t="str">
        <f>'график анн'!H100</f>
        <v/>
      </c>
      <c r="F95" s="45" t="str">
        <f>'график анн'!F100</f>
        <v/>
      </c>
      <c r="G95" s="45" t="str">
        <f>'график анн'!G100</f>
        <v/>
      </c>
      <c r="H95" s="45"/>
      <c r="I95" s="127" t="str">
        <f>'график анн'!M100</f>
        <v/>
      </c>
      <c r="J95" s="127"/>
      <c r="K95" s="127"/>
      <c r="L95" s="127"/>
      <c r="M95" s="127"/>
      <c r="N95" s="127"/>
      <c r="O95" s="127"/>
      <c r="P95" s="50" t="str">
        <f>'график анн'!Q100</f>
        <v/>
      </c>
      <c r="Q95" s="117" t="str">
        <f>'график анн'!R100</f>
        <v/>
      </c>
    </row>
    <row r="96" spans="1:17" x14ac:dyDescent="0.35">
      <c r="A96" s="124" t="str">
        <f>'график анн'!A101</f>
        <v/>
      </c>
      <c r="B96" s="125" t="str">
        <f ca="1">'график анн'!C101</f>
        <v/>
      </c>
      <c r="C96" s="126" t="str">
        <f>'график анн'!D101</f>
        <v/>
      </c>
      <c r="D96" s="45" t="str">
        <f>'график анн'!E101</f>
        <v/>
      </c>
      <c r="E96" s="45" t="str">
        <f>'график анн'!H101</f>
        <v/>
      </c>
      <c r="F96" s="45" t="str">
        <f>'график анн'!F101</f>
        <v/>
      </c>
      <c r="G96" s="45" t="str">
        <f>'график анн'!G101</f>
        <v/>
      </c>
      <c r="H96" s="45"/>
      <c r="I96" s="127" t="str">
        <f>'график анн'!M101</f>
        <v/>
      </c>
      <c r="J96" s="127"/>
      <c r="K96" s="127"/>
      <c r="L96" s="127"/>
      <c r="M96" s="127"/>
      <c r="N96" s="127"/>
      <c r="O96" s="127"/>
      <c r="P96" s="50" t="str">
        <f>'график анн'!Q101</f>
        <v/>
      </c>
      <c r="Q96" s="117" t="str">
        <f>'график анн'!R101</f>
        <v/>
      </c>
    </row>
    <row r="97" spans="1:17" x14ac:dyDescent="0.35">
      <c r="A97" s="124" t="str">
        <f>'график анн'!A102</f>
        <v/>
      </c>
      <c r="B97" s="125" t="str">
        <f ca="1">'график анн'!C102</f>
        <v/>
      </c>
      <c r="C97" s="126" t="str">
        <f>'график анн'!D102</f>
        <v/>
      </c>
      <c r="D97" s="45" t="str">
        <f>'график анн'!E102</f>
        <v/>
      </c>
      <c r="E97" s="45" t="str">
        <f>'график анн'!H102</f>
        <v/>
      </c>
      <c r="F97" s="45" t="str">
        <f>'график анн'!F102</f>
        <v/>
      </c>
      <c r="G97" s="45" t="str">
        <f>'график анн'!G102</f>
        <v/>
      </c>
      <c r="H97" s="45"/>
      <c r="I97" s="127" t="str">
        <f>'график анн'!M102</f>
        <v/>
      </c>
      <c r="J97" s="127"/>
      <c r="K97" s="127"/>
      <c r="L97" s="127"/>
      <c r="M97" s="127"/>
      <c r="N97" s="127"/>
      <c r="O97" s="127"/>
      <c r="P97" s="50" t="str">
        <f>'график анн'!Q102</f>
        <v/>
      </c>
      <c r="Q97" s="117" t="str">
        <f>'график анн'!R102</f>
        <v/>
      </c>
    </row>
    <row r="98" spans="1:17" x14ac:dyDescent="0.35">
      <c r="A98" s="124" t="str">
        <f>'график анн'!A103</f>
        <v/>
      </c>
      <c r="B98" s="125" t="str">
        <f ca="1">'график анн'!C103</f>
        <v/>
      </c>
      <c r="C98" s="126" t="str">
        <f>'график анн'!D103</f>
        <v/>
      </c>
      <c r="D98" s="45" t="str">
        <f>'график анн'!E103</f>
        <v/>
      </c>
      <c r="E98" s="45" t="str">
        <f>'график анн'!H103</f>
        <v/>
      </c>
      <c r="F98" s="45" t="str">
        <f>'график анн'!F103</f>
        <v/>
      </c>
      <c r="G98" s="45" t="str">
        <f>'график анн'!G103</f>
        <v/>
      </c>
      <c r="H98" s="45"/>
      <c r="I98" s="127" t="str">
        <f>'график анн'!M103</f>
        <v/>
      </c>
      <c r="J98" s="127"/>
      <c r="K98" s="127"/>
      <c r="L98" s="127"/>
      <c r="M98" s="127"/>
      <c r="N98" s="127"/>
      <c r="O98" s="127"/>
      <c r="P98" s="50" t="str">
        <f>'график анн'!Q103</f>
        <v/>
      </c>
      <c r="Q98" s="117" t="str">
        <f>'график анн'!R103</f>
        <v/>
      </c>
    </row>
    <row r="99" spans="1:17" x14ac:dyDescent="0.35">
      <c r="A99" s="124" t="str">
        <f>'график анн'!A104</f>
        <v/>
      </c>
      <c r="B99" s="125" t="str">
        <f ca="1">'график анн'!C104</f>
        <v/>
      </c>
      <c r="C99" s="126" t="str">
        <f>'график анн'!D104</f>
        <v/>
      </c>
      <c r="D99" s="45" t="str">
        <f>'график анн'!E104</f>
        <v/>
      </c>
      <c r="E99" s="45" t="str">
        <f>'график анн'!H104</f>
        <v/>
      </c>
      <c r="F99" s="45" t="str">
        <f>'график анн'!F104</f>
        <v/>
      </c>
      <c r="G99" s="45" t="str">
        <f>'график анн'!G104</f>
        <v/>
      </c>
      <c r="H99" s="45"/>
      <c r="I99" s="127" t="str">
        <f>'график анн'!M104</f>
        <v/>
      </c>
      <c r="J99" s="127"/>
      <c r="K99" s="127"/>
      <c r="L99" s="127"/>
      <c r="M99" s="127"/>
      <c r="N99" s="127"/>
      <c r="O99" s="127"/>
      <c r="P99" s="50" t="str">
        <f>'график анн'!Q104</f>
        <v/>
      </c>
      <c r="Q99" s="117" t="str">
        <f>'график анн'!R104</f>
        <v/>
      </c>
    </row>
    <row r="100" spans="1:17" x14ac:dyDescent="0.35">
      <c r="A100" s="124" t="str">
        <f>'график анн'!A105</f>
        <v/>
      </c>
      <c r="B100" s="125" t="str">
        <f ca="1">'график анн'!C105</f>
        <v/>
      </c>
      <c r="C100" s="126" t="str">
        <f>'график анн'!D105</f>
        <v/>
      </c>
      <c r="D100" s="45" t="str">
        <f>'график анн'!E105</f>
        <v/>
      </c>
      <c r="E100" s="45" t="str">
        <f>'график анн'!H105</f>
        <v/>
      </c>
      <c r="F100" s="45" t="str">
        <f>'график анн'!F105</f>
        <v/>
      </c>
      <c r="G100" s="45" t="str">
        <f>'график анн'!G105</f>
        <v/>
      </c>
      <c r="H100" s="45"/>
      <c r="I100" s="127" t="str">
        <f>'график анн'!M105</f>
        <v/>
      </c>
      <c r="J100" s="127"/>
      <c r="K100" s="127"/>
      <c r="L100" s="127"/>
      <c r="M100" s="127"/>
      <c r="N100" s="127"/>
      <c r="O100" s="127"/>
      <c r="P100" s="50" t="str">
        <f>'график анн'!Q105</f>
        <v/>
      </c>
      <c r="Q100" s="117" t="str">
        <f>'график анн'!R105</f>
        <v/>
      </c>
    </row>
    <row r="101" spans="1:17" x14ac:dyDescent="0.35">
      <c r="A101" s="124" t="str">
        <f>'график анн'!A106</f>
        <v/>
      </c>
      <c r="B101" s="125" t="str">
        <f ca="1">'график анн'!C106</f>
        <v/>
      </c>
      <c r="C101" s="126" t="str">
        <f>'график анн'!D106</f>
        <v/>
      </c>
      <c r="D101" s="45" t="str">
        <f>'график анн'!E106</f>
        <v/>
      </c>
      <c r="E101" s="45" t="str">
        <f>'график анн'!H106</f>
        <v/>
      </c>
      <c r="F101" s="45" t="str">
        <f>'график анн'!F106</f>
        <v/>
      </c>
      <c r="G101" s="45" t="str">
        <f>'график анн'!G106</f>
        <v/>
      </c>
      <c r="H101" s="45"/>
      <c r="I101" s="127" t="str">
        <f>'график анн'!M106</f>
        <v/>
      </c>
      <c r="J101" s="127"/>
      <c r="K101" s="127"/>
      <c r="L101" s="127"/>
      <c r="M101" s="127"/>
      <c r="N101" s="127"/>
      <c r="O101" s="127"/>
      <c r="P101" s="50" t="str">
        <f>'график анн'!Q106</f>
        <v/>
      </c>
      <c r="Q101" s="117" t="str">
        <f>'график анн'!R106</f>
        <v/>
      </c>
    </row>
    <row r="102" spans="1:17" x14ac:dyDescent="0.35">
      <c r="A102" s="124" t="str">
        <f>'график анн'!A107</f>
        <v/>
      </c>
      <c r="B102" s="125" t="str">
        <f ca="1">'график анн'!C107</f>
        <v/>
      </c>
      <c r="C102" s="126" t="str">
        <f>'график анн'!D107</f>
        <v/>
      </c>
      <c r="D102" s="45" t="str">
        <f>'график анн'!E107</f>
        <v/>
      </c>
      <c r="E102" s="45" t="str">
        <f>'график анн'!H107</f>
        <v/>
      </c>
      <c r="F102" s="45" t="str">
        <f>'график анн'!F107</f>
        <v/>
      </c>
      <c r="G102" s="45" t="str">
        <f>'график анн'!G107</f>
        <v/>
      </c>
      <c r="H102" s="45"/>
      <c r="I102" s="127" t="str">
        <f>'график анн'!M107</f>
        <v/>
      </c>
      <c r="J102" s="127"/>
      <c r="K102" s="127"/>
      <c r="L102" s="127"/>
      <c r="M102" s="127"/>
      <c r="N102" s="127"/>
      <c r="O102" s="127"/>
      <c r="P102" s="50" t="str">
        <f>'график анн'!Q107</f>
        <v/>
      </c>
      <c r="Q102" s="117" t="str">
        <f>'график анн'!R107</f>
        <v/>
      </c>
    </row>
    <row r="103" spans="1:17" x14ac:dyDescent="0.35">
      <c r="A103" s="124" t="str">
        <f>'график анн'!A108</f>
        <v/>
      </c>
      <c r="B103" s="125" t="str">
        <f ca="1">'график анн'!C108</f>
        <v/>
      </c>
      <c r="C103" s="126" t="str">
        <f>'график анн'!D108</f>
        <v/>
      </c>
      <c r="D103" s="45" t="str">
        <f>'график анн'!E108</f>
        <v/>
      </c>
      <c r="E103" s="45" t="str">
        <f>'график анн'!H108</f>
        <v/>
      </c>
      <c r="F103" s="45" t="str">
        <f>'график анн'!F108</f>
        <v/>
      </c>
      <c r="G103" s="45" t="str">
        <f>'график анн'!G108</f>
        <v/>
      </c>
      <c r="H103" s="45"/>
      <c r="I103" s="127" t="str">
        <f>'график анн'!M108</f>
        <v/>
      </c>
      <c r="J103" s="127"/>
      <c r="K103" s="127"/>
      <c r="L103" s="127"/>
      <c r="M103" s="127"/>
      <c r="N103" s="127"/>
      <c r="O103" s="127"/>
      <c r="P103" s="50" t="str">
        <f>'график анн'!Q108</f>
        <v/>
      </c>
      <c r="Q103" s="117" t="str">
        <f>'график анн'!R108</f>
        <v/>
      </c>
    </row>
    <row r="104" spans="1:17" x14ac:dyDescent="0.35">
      <c r="A104" s="124" t="str">
        <f>'график анн'!A109</f>
        <v/>
      </c>
      <c r="B104" s="125" t="str">
        <f ca="1">'график анн'!C109</f>
        <v/>
      </c>
      <c r="C104" s="126" t="str">
        <f>'график анн'!D109</f>
        <v/>
      </c>
      <c r="D104" s="45" t="str">
        <f>'график анн'!E109</f>
        <v/>
      </c>
      <c r="E104" s="45" t="str">
        <f>'график анн'!H109</f>
        <v/>
      </c>
      <c r="F104" s="45" t="str">
        <f>'график анн'!F109</f>
        <v/>
      </c>
      <c r="G104" s="45" t="str">
        <f>'график анн'!G109</f>
        <v/>
      </c>
      <c r="H104" s="45"/>
      <c r="I104" s="127" t="str">
        <f>'график анн'!M109</f>
        <v/>
      </c>
      <c r="J104" s="127"/>
      <c r="K104" s="127"/>
      <c r="L104" s="127"/>
      <c r="M104" s="127"/>
      <c r="N104" s="127"/>
      <c r="O104" s="127"/>
      <c r="P104" s="50" t="str">
        <f>'график анн'!Q109</f>
        <v/>
      </c>
      <c r="Q104" s="117" t="str">
        <f>'график анн'!R109</f>
        <v/>
      </c>
    </row>
    <row r="105" spans="1:17" x14ac:dyDescent="0.35">
      <c r="A105" s="124" t="str">
        <f>'график анн'!A110</f>
        <v/>
      </c>
      <c r="B105" s="125" t="str">
        <f ca="1">'график анн'!C110</f>
        <v/>
      </c>
      <c r="C105" s="126" t="str">
        <f>'график анн'!D110</f>
        <v/>
      </c>
      <c r="D105" s="45" t="str">
        <f>'график анн'!E110</f>
        <v/>
      </c>
      <c r="E105" s="45" t="str">
        <f>'график анн'!H110</f>
        <v/>
      </c>
      <c r="F105" s="45" t="str">
        <f>'график анн'!F110</f>
        <v/>
      </c>
      <c r="G105" s="45" t="str">
        <f>'график анн'!G110</f>
        <v/>
      </c>
      <c r="H105" s="45"/>
      <c r="I105" s="127" t="str">
        <f>'график анн'!M110</f>
        <v/>
      </c>
      <c r="J105" s="127"/>
      <c r="K105" s="127"/>
      <c r="L105" s="127"/>
      <c r="M105" s="127"/>
      <c r="N105" s="127"/>
      <c r="O105" s="127"/>
      <c r="P105" s="50" t="str">
        <f>'график анн'!Q110</f>
        <v/>
      </c>
      <c r="Q105" s="117" t="str">
        <f>'график анн'!R110</f>
        <v/>
      </c>
    </row>
    <row r="106" spans="1:17" x14ac:dyDescent="0.35">
      <c r="A106" s="124" t="str">
        <f>'график анн'!A111</f>
        <v/>
      </c>
      <c r="B106" s="125" t="str">
        <f ca="1">'график анн'!C111</f>
        <v/>
      </c>
      <c r="C106" s="126" t="str">
        <f>'график анн'!D111</f>
        <v/>
      </c>
      <c r="D106" s="45" t="str">
        <f>'график анн'!E111</f>
        <v/>
      </c>
      <c r="E106" s="45" t="str">
        <f>'график анн'!H111</f>
        <v/>
      </c>
      <c r="F106" s="45" t="str">
        <f>'график анн'!F111</f>
        <v/>
      </c>
      <c r="G106" s="45" t="str">
        <f>'график анн'!G111</f>
        <v/>
      </c>
      <c r="H106" s="45"/>
      <c r="I106" s="127" t="str">
        <f>'график анн'!M111</f>
        <v/>
      </c>
      <c r="J106" s="127"/>
      <c r="K106" s="127"/>
      <c r="L106" s="127"/>
      <c r="M106" s="127"/>
      <c r="N106" s="127"/>
      <c r="O106" s="127"/>
      <c r="P106" s="50" t="str">
        <f>'график анн'!Q111</f>
        <v/>
      </c>
      <c r="Q106" s="117" t="str">
        <f>'график анн'!R111</f>
        <v/>
      </c>
    </row>
    <row r="107" spans="1:17" x14ac:dyDescent="0.35">
      <c r="A107" s="124" t="str">
        <f>'график анн'!A112</f>
        <v/>
      </c>
      <c r="B107" s="125" t="str">
        <f ca="1">'график анн'!C112</f>
        <v/>
      </c>
      <c r="C107" s="126" t="str">
        <f>'график анн'!D112</f>
        <v/>
      </c>
      <c r="D107" s="45" t="str">
        <f>'график анн'!E112</f>
        <v/>
      </c>
      <c r="E107" s="45" t="str">
        <f>'график анн'!H112</f>
        <v/>
      </c>
      <c r="F107" s="45" t="str">
        <f>'график анн'!F112</f>
        <v/>
      </c>
      <c r="G107" s="45" t="str">
        <f>'график анн'!G112</f>
        <v/>
      </c>
      <c r="H107" s="45"/>
      <c r="I107" s="127" t="str">
        <f>'график анн'!M112</f>
        <v/>
      </c>
      <c r="J107" s="127"/>
      <c r="K107" s="127"/>
      <c r="L107" s="127"/>
      <c r="M107" s="127"/>
      <c r="N107" s="127"/>
      <c r="O107" s="127"/>
      <c r="P107" s="50" t="str">
        <f>'график анн'!Q112</f>
        <v/>
      </c>
      <c r="Q107" s="117" t="str">
        <f>'график анн'!R112</f>
        <v/>
      </c>
    </row>
    <row r="108" spans="1:17" x14ac:dyDescent="0.35">
      <c r="A108" s="124" t="str">
        <f>'график анн'!A113</f>
        <v/>
      </c>
      <c r="B108" s="125" t="str">
        <f ca="1">'график анн'!C113</f>
        <v/>
      </c>
      <c r="C108" s="126" t="str">
        <f>'график анн'!D113</f>
        <v/>
      </c>
      <c r="D108" s="45" t="str">
        <f>'график анн'!E113</f>
        <v/>
      </c>
      <c r="E108" s="45" t="str">
        <f>'график анн'!H113</f>
        <v/>
      </c>
      <c r="F108" s="45" t="str">
        <f>'график анн'!F113</f>
        <v/>
      </c>
      <c r="G108" s="45" t="str">
        <f>'график анн'!G113</f>
        <v/>
      </c>
      <c r="H108" s="45"/>
      <c r="I108" s="127" t="str">
        <f>'график анн'!M113</f>
        <v/>
      </c>
      <c r="J108" s="127"/>
      <c r="K108" s="127"/>
      <c r="L108" s="127"/>
      <c r="M108" s="127"/>
      <c r="N108" s="127"/>
      <c r="O108" s="127"/>
      <c r="P108" s="50" t="str">
        <f>'график анн'!Q113</f>
        <v/>
      </c>
      <c r="Q108" s="117" t="str">
        <f>'график анн'!R113</f>
        <v/>
      </c>
    </row>
    <row r="109" spans="1:17" x14ac:dyDescent="0.35">
      <c r="A109" s="124" t="str">
        <f>'график анн'!A114</f>
        <v/>
      </c>
      <c r="B109" s="125" t="str">
        <f ca="1">'график анн'!C114</f>
        <v/>
      </c>
      <c r="C109" s="126" t="str">
        <f>'график анн'!D114</f>
        <v/>
      </c>
      <c r="D109" s="45" t="str">
        <f>'график анн'!E114</f>
        <v/>
      </c>
      <c r="E109" s="45" t="str">
        <f>'график анн'!H114</f>
        <v/>
      </c>
      <c r="F109" s="45" t="str">
        <f>'график анн'!F114</f>
        <v/>
      </c>
      <c r="G109" s="45" t="str">
        <f>'график анн'!G114</f>
        <v/>
      </c>
      <c r="H109" s="45"/>
      <c r="I109" s="127" t="str">
        <f>'график анн'!M114</f>
        <v/>
      </c>
      <c r="J109" s="127"/>
      <c r="K109" s="127"/>
      <c r="L109" s="127"/>
      <c r="M109" s="127"/>
      <c r="N109" s="127"/>
      <c r="O109" s="127"/>
      <c r="P109" s="50" t="str">
        <f>'график анн'!Q114</f>
        <v/>
      </c>
      <c r="Q109" s="117" t="str">
        <f>'график анн'!R114</f>
        <v/>
      </c>
    </row>
    <row r="110" spans="1:17" x14ac:dyDescent="0.35">
      <c r="A110" s="124" t="str">
        <f>'график анн'!A115</f>
        <v/>
      </c>
      <c r="B110" s="125" t="str">
        <f ca="1">'график анн'!C115</f>
        <v/>
      </c>
      <c r="C110" s="126" t="str">
        <f>'график анн'!D115</f>
        <v/>
      </c>
      <c r="D110" s="45" t="str">
        <f>'график анн'!E115</f>
        <v/>
      </c>
      <c r="E110" s="45" t="str">
        <f>'график анн'!H115</f>
        <v/>
      </c>
      <c r="F110" s="45" t="str">
        <f>'график анн'!F115</f>
        <v/>
      </c>
      <c r="G110" s="45" t="str">
        <f>'график анн'!G115</f>
        <v/>
      </c>
      <c r="H110" s="45"/>
      <c r="I110" s="127" t="str">
        <f>'график анн'!M115</f>
        <v/>
      </c>
      <c r="J110" s="127"/>
      <c r="K110" s="127"/>
      <c r="L110" s="127"/>
      <c r="M110" s="127"/>
      <c r="N110" s="127"/>
      <c r="O110" s="127"/>
      <c r="P110" s="50" t="str">
        <f>'график анн'!Q115</f>
        <v/>
      </c>
      <c r="Q110" s="117" t="str">
        <f>'график анн'!R115</f>
        <v/>
      </c>
    </row>
    <row r="111" spans="1:17" x14ac:dyDescent="0.35">
      <c r="A111" s="124" t="str">
        <f>'график анн'!A116</f>
        <v/>
      </c>
      <c r="B111" s="125" t="str">
        <f ca="1">'график анн'!C116</f>
        <v/>
      </c>
      <c r="C111" s="126" t="str">
        <f>'график анн'!D116</f>
        <v/>
      </c>
      <c r="D111" s="45" t="str">
        <f>'график анн'!E116</f>
        <v/>
      </c>
      <c r="E111" s="45" t="str">
        <f>'график анн'!H116</f>
        <v/>
      </c>
      <c r="F111" s="45" t="str">
        <f>'график анн'!F116</f>
        <v/>
      </c>
      <c r="G111" s="45" t="str">
        <f>'график анн'!G116</f>
        <v/>
      </c>
      <c r="H111" s="45"/>
      <c r="I111" s="127" t="str">
        <f>'график анн'!M116</f>
        <v/>
      </c>
      <c r="J111" s="127"/>
      <c r="K111" s="127"/>
      <c r="L111" s="127"/>
      <c r="M111" s="127"/>
      <c r="N111" s="127"/>
      <c r="O111" s="127"/>
      <c r="P111" s="50" t="str">
        <f>'график анн'!Q116</f>
        <v/>
      </c>
      <c r="Q111" s="117" t="str">
        <f>'график анн'!R116</f>
        <v/>
      </c>
    </row>
    <row r="112" spans="1:17" x14ac:dyDescent="0.35">
      <c r="A112" s="124" t="str">
        <f>'график анн'!A117</f>
        <v/>
      </c>
      <c r="B112" s="125" t="str">
        <f ca="1">'график анн'!C117</f>
        <v/>
      </c>
      <c r="C112" s="126" t="str">
        <f>'график анн'!D117</f>
        <v/>
      </c>
      <c r="D112" s="45" t="str">
        <f>'график анн'!E117</f>
        <v/>
      </c>
      <c r="E112" s="45" t="str">
        <f>'график анн'!H117</f>
        <v/>
      </c>
      <c r="F112" s="45" t="str">
        <f>'график анн'!F117</f>
        <v/>
      </c>
      <c r="G112" s="45" t="str">
        <f>'график анн'!G117</f>
        <v/>
      </c>
      <c r="H112" s="45"/>
      <c r="I112" s="127" t="str">
        <f>'график анн'!M117</f>
        <v/>
      </c>
      <c r="J112" s="127"/>
      <c r="K112" s="127"/>
      <c r="L112" s="127"/>
      <c r="M112" s="127"/>
      <c r="N112" s="127"/>
      <c r="O112" s="127"/>
      <c r="P112" s="50" t="str">
        <f>'график анн'!Q117</f>
        <v/>
      </c>
      <c r="Q112" s="117" t="str">
        <f>'график анн'!R117</f>
        <v/>
      </c>
    </row>
    <row r="113" spans="1:17" x14ac:dyDescent="0.35">
      <c r="A113" s="124" t="str">
        <f>'график анн'!A118</f>
        <v/>
      </c>
      <c r="B113" s="125">
        <f ca="1">'график анн'!C94</f>
        <v>46053</v>
      </c>
      <c r="C113" s="126" t="str">
        <f>'график анн'!D118</f>
        <v/>
      </c>
      <c r="D113" s="45" t="str">
        <f>'график анн'!E118</f>
        <v/>
      </c>
      <c r="E113" s="45" t="str">
        <f>'график анн'!H118</f>
        <v/>
      </c>
      <c r="F113" s="45" t="str">
        <f>'график анн'!F118</f>
        <v/>
      </c>
      <c r="G113" s="45" t="str">
        <f>'график анн'!G118</f>
        <v/>
      </c>
      <c r="H113" s="45"/>
      <c r="I113" s="127" t="str">
        <f>'график анн'!M118</f>
        <v/>
      </c>
      <c r="J113" s="127"/>
      <c r="K113" s="127"/>
      <c r="L113" s="127"/>
      <c r="M113" s="127"/>
      <c r="N113" s="127"/>
      <c r="O113" s="127"/>
      <c r="P113" s="50" t="str">
        <f>'график анн'!Q118</f>
        <v/>
      </c>
      <c r="Q113" s="117" t="str">
        <f>'график анн'!R118</f>
        <v/>
      </c>
    </row>
    <row r="114" spans="1:17" x14ac:dyDescent="0.35">
      <c r="A114" s="365" t="s">
        <v>94</v>
      </c>
      <c r="B114" s="365"/>
      <c r="C114" s="365"/>
      <c r="D114" s="365"/>
      <c r="E114" s="45" t="str">
        <f>'график анн'!H119</f>
        <v/>
      </c>
      <c r="F114" s="45" t="str">
        <f>'график анн'!F119</f>
        <v/>
      </c>
      <c r="G114" s="45" t="str">
        <f>'график анн'!G119</f>
        <v/>
      </c>
      <c r="H114" s="45"/>
      <c r="I114" s="127" t="str">
        <f>'график анн'!M119</f>
        <v/>
      </c>
      <c r="J114" s="127"/>
      <c r="K114" s="127"/>
      <c r="L114" s="127"/>
      <c r="M114" s="127"/>
      <c r="N114" s="127"/>
      <c r="O114" s="127"/>
      <c r="P114" s="50" t="str">
        <f>'график анн'!Q119</f>
        <v/>
      </c>
      <c r="Q114" s="117" t="str">
        <f>'график анн'!R119</f>
        <v/>
      </c>
    </row>
    <row r="118" spans="1:17" x14ac:dyDescent="0.35">
      <c r="A118" s="379" t="s">
        <v>113</v>
      </c>
      <c r="B118" s="379"/>
      <c r="C118" s="379"/>
      <c r="D118" s="379"/>
      <c r="E118" s="379"/>
      <c r="F118" s="379"/>
      <c r="G118" s="379"/>
      <c r="H118" s="379"/>
      <c r="I118" s="379"/>
      <c r="J118" s="379"/>
      <c r="K118" s="379"/>
      <c r="L118" s="379"/>
      <c r="M118" s="379"/>
      <c r="N118" s="379"/>
      <c r="O118" s="379"/>
      <c r="P118" s="379"/>
      <c r="Q118" s="379"/>
    </row>
    <row r="120" spans="1:17" x14ac:dyDescent="0.35">
      <c r="A120" s="18"/>
      <c r="B120" s="18"/>
      <c r="C120" s="18"/>
      <c r="D120" s="18"/>
      <c r="E120" s="374"/>
      <c r="F120" s="374"/>
      <c r="G120" s="19"/>
      <c r="H120" s="19"/>
      <c r="I120" s="19"/>
      <c r="J120" s="19"/>
      <c r="K120" s="19"/>
      <c r="L120" s="19"/>
      <c r="M120" s="19"/>
      <c r="N120" s="19"/>
      <c r="O120" s="19" t="s">
        <v>142</v>
      </c>
      <c r="P120" s="19"/>
      <c r="Q120" s="135"/>
    </row>
    <row r="121" spans="1:17" ht="24" customHeight="1" x14ac:dyDescent="0.35">
      <c r="A121" s="18"/>
      <c r="B121" s="18"/>
      <c r="C121" s="18"/>
      <c r="D121" s="18"/>
      <c r="E121" s="375"/>
      <c r="F121" s="375"/>
      <c r="G121" s="20"/>
      <c r="H121" s="20"/>
      <c r="I121" s="23"/>
      <c r="J121" s="23"/>
      <c r="K121" s="23"/>
      <c r="L121" s="23"/>
      <c r="M121" s="23"/>
      <c r="N121" s="23"/>
      <c r="O121" s="386" t="s">
        <v>76</v>
      </c>
      <c r="P121" s="387"/>
      <c r="Q121" s="376">
        <f>I145</f>
        <v>10000</v>
      </c>
    </row>
    <row r="122" spans="1:17" x14ac:dyDescent="0.35">
      <c r="A122" s="18" t="s">
        <v>77</v>
      </c>
      <c r="B122" s="18"/>
      <c r="C122" s="18"/>
      <c r="D122" s="18"/>
      <c r="E122" s="378">
        <f>'график с повышеной%'!F7</f>
        <v>1000000</v>
      </c>
      <c r="F122" s="378"/>
      <c r="G122" s="26"/>
      <c r="H122" s="26"/>
      <c r="I122" s="27"/>
      <c r="J122" s="27"/>
      <c r="K122" s="27"/>
      <c r="L122" s="27"/>
      <c r="M122" s="27"/>
      <c r="N122" s="27"/>
      <c r="O122" s="388"/>
      <c r="P122" s="389"/>
      <c r="Q122" s="377"/>
    </row>
    <row r="123" spans="1:17" x14ac:dyDescent="0.35">
      <c r="A123" s="18" t="s">
        <v>78</v>
      </c>
      <c r="B123" s="18"/>
      <c r="C123" s="18"/>
      <c r="D123" s="18"/>
      <c r="E123" s="354">
        <f ca="1">'график с повышеной%'!F3</f>
        <v>44228</v>
      </c>
      <c r="F123" s="355"/>
      <c r="G123" s="26"/>
      <c r="H123" s="26"/>
      <c r="I123" s="27"/>
      <c r="J123" s="27"/>
      <c r="K123" s="27"/>
      <c r="L123" s="27"/>
      <c r="M123" s="27"/>
      <c r="N123" s="27"/>
      <c r="O123" s="390" t="s">
        <v>125</v>
      </c>
      <c r="P123" s="391"/>
      <c r="Q123" s="394">
        <f>J145</f>
        <v>0</v>
      </c>
    </row>
    <row r="124" spans="1:17" x14ac:dyDescent="0.35">
      <c r="A124" s="18" t="s">
        <v>79</v>
      </c>
      <c r="B124" s="18"/>
      <c r="C124" s="18"/>
      <c r="D124" s="18"/>
      <c r="E124" s="354">
        <f ca="1">EDATE(E123,'график анн'!F134)-1</f>
        <v>44227</v>
      </c>
      <c r="F124" s="355"/>
      <c r="G124" s="28"/>
      <c r="H124" s="28"/>
      <c r="I124" s="27"/>
      <c r="J124" s="27"/>
      <c r="K124" s="27"/>
      <c r="L124" s="27"/>
      <c r="M124" s="27"/>
      <c r="N124" s="27"/>
      <c r="O124" s="392"/>
      <c r="P124" s="393"/>
      <c r="Q124" s="395"/>
    </row>
    <row r="125" spans="1:17" x14ac:dyDescent="0.35">
      <c r="A125" s="18"/>
      <c r="B125" s="18"/>
      <c r="C125" s="18"/>
      <c r="D125" s="18"/>
      <c r="E125" s="24"/>
      <c r="F125" s="25"/>
      <c r="G125" s="26"/>
      <c r="H125" s="26"/>
      <c r="I125" s="27"/>
      <c r="J125" s="27"/>
      <c r="K125" s="27"/>
      <c r="L125" s="27"/>
      <c r="M125" s="27"/>
      <c r="N125" s="27"/>
      <c r="O125" s="396" t="s">
        <v>131</v>
      </c>
      <c r="P125" s="397"/>
      <c r="Q125" s="195">
        <f>Q9</f>
        <v>12181</v>
      </c>
    </row>
    <row r="126" spans="1:17" x14ac:dyDescent="0.35">
      <c r="A126" s="18" t="s">
        <v>80</v>
      </c>
      <c r="B126" s="18"/>
      <c r="C126" s="18"/>
      <c r="D126" s="18"/>
      <c r="E126" s="363">
        <f>'график с повышеной%'!F8</f>
        <v>60</v>
      </c>
      <c r="F126" s="363"/>
      <c r="G126" s="26"/>
      <c r="H126" s="26"/>
      <c r="I126" s="27"/>
      <c r="J126" s="27"/>
      <c r="K126" s="27"/>
      <c r="L126" s="27"/>
      <c r="M126" s="27"/>
      <c r="N126" s="27"/>
      <c r="O126" s="398" t="s">
        <v>126</v>
      </c>
      <c r="P126" s="399"/>
      <c r="Q126" s="394">
        <f>L145+M145+N145+O145</f>
        <v>59900</v>
      </c>
    </row>
    <row r="127" spans="1:17" x14ac:dyDescent="0.35">
      <c r="A127" s="18"/>
      <c r="B127" s="18"/>
      <c r="C127" s="18"/>
      <c r="D127" s="18"/>
      <c r="E127" s="24"/>
      <c r="F127" s="25"/>
      <c r="G127" s="28"/>
      <c r="H127" s="28"/>
      <c r="I127" s="27"/>
      <c r="J127" s="27"/>
      <c r="K127" s="27"/>
      <c r="L127" s="27"/>
      <c r="M127" s="27"/>
      <c r="N127" s="27"/>
      <c r="O127" s="400"/>
      <c r="P127" s="401"/>
      <c r="Q127" s="395"/>
    </row>
    <row r="128" spans="1:17" x14ac:dyDescent="0.35">
      <c r="A128" s="18" t="s">
        <v>81</v>
      </c>
      <c r="B128" s="18"/>
      <c r="C128" s="18"/>
      <c r="D128" s="18"/>
      <c r="E128" s="364" t="s">
        <v>82</v>
      </c>
      <c r="F128" s="364"/>
      <c r="G128" s="26"/>
      <c r="H128" s="26"/>
      <c r="I128" s="27"/>
      <c r="J128" s="27"/>
      <c r="K128" s="27"/>
      <c r="L128" s="27"/>
      <c r="M128" s="27"/>
      <c r="N128" s="27"/>
      <c r="O128" s="27"/>
      <c r="P128" s="29"/>
      <c r="Q128" s="137"/>
    </row>
    <row r="129" spans="1:17" x14ac:dyDescent="0.35">
      <c r="A129" s="18" t="s">
        <v>83</v>
      </c>
      <c r="B129" s="18"/>
      <c r="C129" s="18"/>
      <c r="D129" s="18"/>
      <c r="E129" s="364" t="s">
        <v>84</v>
      </c>
      <c r="F129" s="364"/>
      <c r="G129" s="26"/>
      <c r="H129" s="26"/>
      <c r="I129" s="21"/>
      <c r="J129" s="21"/>
      <c r="K129" s="21"/>
      <c r="L129" s="21"/>
      <c r="M129" s="21"/>
      <c r="N129" s="21"/>
      <c r="O129" s="21"/>
      <c r="P129" s="22"/>
      <c r="Q129" s="136"/>
    </row>
    <row r="130" spans="1:17" x14ac:dyDescent="0.35">
      <c r="A130" s="18"/>
      <c r="B130" s="18"/>
      <c r="C130" s="18"/>
      <c r="D130" s="18"/>
      <c r="E130" s="46"/>
      <c r="F130" s="46"/>
      <c r="G130" s="26"/>
      <c r="H130" s="26"/>
      <c r="I130" s="21"/>
      <c r="J130" s="21"/>
      <c r="K130" s="21"/>
      <c r="L130" s="21"/>
      <c r="M130" s="21"/>
      <c r="N130" s="21"/>
      <c r="O130" s="21"/>
      <c r="P130" s="22"/>
      <c r="Q130" s="136"/>
    </row>
    <row r="131" spans="1:17" x14ac:dyDescent="0.35">
      <c r="A131" s="356" t="s">
        <v>85</v>
      </c>
      <c r="B131" s="356"/>
      <c r="C131" s="356"/>
      <c r="D131" s="356"/>
      <c r="E131" s="356"/>
      <c r="F131" s="356"/>
      <c r="G131" s="30"/>
      <c r="H131" s="30"/>
      <c r="I131" s="21"/>
      <c r="J131" s="21"/>
      <c r="K131" s="21"/>
      <c r="L131" s="21"/>
      <c r="M131" s="21"/>
      <c r="N131" s="21"/>
      <c r="O131" s="21"/>
      <c r="P131" s="22"/>
      <c r="Q131" s="136"/>
    </row>
    <row r="132" spans="1:17" x14ac:dyDescent="0.35">
      <c r="A132" s="366" t="s">
        <v>86</v>
      </c>
      <c r="B132" s="367"/>
      <c r="C132" s="31"/>
      <c r="D132" s="31"/>
      <c r="E132" s="31" t="s">
        <v>87</v>
      </c>
      <c r="F132" s="32" t="s">
        <v>88</v>
      </c>
      <c r="G132" s="32" t="s">
        <v>89</v>
      </c>
      <c r="H132" s="70"/>
      <c r="I132" s="33"/>
      <c r="J132" s="33"/>
      <c r="K132" s="33"/>
      <c r="L132" s="33"/>
      <c r="M132" s="33"/>
      <c r="N132" s="33"/>
      <c r="O132" s="33"/>
      <c r="P132" s="22"/>
      <c r="Q132" s="136"/>
    </row>
    <row r="133" spans="1:17" x14ac:dyDescent="0.35">
      <c r="A133" s="81"/>
      <c r="B133" s="82"/>
      <c r="C133" s="31"/>
      <c r="D133" s="31"/>
      <c r="E133" s="31"/>
      <c r="F133" s="32"/>
      <c r="G133" s="32"/>
      <c r="H133" s="70"/>
      <c r="I133" s="33"/>
      <c r="J133" s="33"/>
      <c r="K133" s="33"/>
      <c r="L133" s="33"/>
      <c r="M133" s="33"/>
      <c r="N133" s="33"/>
      <c r="O133" s="33"/>
      <c r="P133" s="37"/>
      <c r="Q133" s="138"/>
    </row>
    <row r="134" spans="1:17" x14ac:dyDescent="0.35">
      <c r="A134" s="38" t="s">
        <v>95</v>
      </c>
      <c r="B134" s="36"/>
      <c r="C134" s="36"/>
      <c r="D134" s="36"/>
      <c r="E134" s="36"/>
      <c r="F134" s="36"/>
      <c r="G134" s="36"/>
      <c r="H134" s="36"/>
      <c r="I134" s="39"/>
      <c r="J134" s="39"/>
      <c r="K134" s="39"/>
      <c r="L134" s="39"/>
      <c r="M134" s="39"/>
      <c r="N134" s="39"/>
      <c r="O134" s="39"/>
      <c r="P134" s="36"/>
      <c r="Q134" s="139"/>
    </row>
    <row r="135" spans="1:17" x14ac:dyDescent="0.35">
      <c r="A135" s="4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2"/>
      <c r="Q135" s="140"/>
    </row>
    <row r="136" spans="1:17" x14ac:dyDescent="0.35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9"/>
      <c r="Q136" s="141"/>
    </row>
    <row r="137" spans="1:17" x14ac:dyDescent="0.35">
      <c r="A137" s="368" t="s">
        <v>63</v>
      </c>
      <c r="B137" s="371" t="s">
        <v>64</v>
      </c>
      <c r="C137" s="357" t="s">
        <v>65</v>
      </c>
      <c r="D137" s="357" t="s">
        <v>66</v>
      </c>
      <c r="E137" s="380" t="s">
        <v>90</v>
      </c>
      <c r="F137" s="73" t="s">
        <v>91</v>
      </c>
      <c r="G137" s="74"/>
      <c r="H137" s="74"/>
      <c r="I137" s="74"/>
      <c r="J137" s="74"/>
      <c r="K137" s="74"/>
      <c r="L137" s="348" t="s">
        <v>141</v>
      </c>
      <c r="M137" s="349"/>
      <c r="N137" s="193"/>
      <c r="O137" s="194"/>
      <c r="P137" s="371" t="s">
        <v>71</v>
      </c>
      <c r="Q137" s="383" t="s">
        <v>92</v>
      </c>
    </row>
    <row r="138" spans="1:17" ht="15" customHeight="1" x14ac:dyDescent="0.35">
      <c r="A138" s="369"/>
      <c r="B138" s="372"/>
      <c r="C138" s="358"/>
      <c r="D138" s="358"/>
      <c r="E138" s="381"/>
      <c r="F138" s="362" t="s">
        <v>67</v>
      </c>
      <c r="G138" s="384" t="s">
        <v>68</v>
      </c>
      <c r="H138" s="362" t="s">
        <v>111</v>
      </c>
      <c r="I138" s="362" t="s">
        <v>93</v>
      </c>
      <c r="J138" s="371" t="s">
        <v>132</v>
      </c>
      <c r="K138" s="350" t="s">
        <v>131</v>
      </c>
      <c r="L138" s="352" t="s">
        <v>127</v>
      </c>
      <c r="M138" s="350" t="s">
        <v>128</v>
      </c>
      <c r="N138" s="352" t="s">
        <v>129</v>
      </c>
      <c r="O138" s="350" t="s">
        <v>130</v>
      </c>
      <c r="P138" s="353"/>
      <c r="Q138" s="383"/>
    </row>
    <row r="139" spans="1:17" x14ac:dyDescent="0.35">
      <c r="A139" s="369"/>
      <c r="B139" s="372"/>
      <c r="C139" s="358"/>
      <c r="D139" s="358"/>
      <c r="E139" s="381"/>
      <c r="F139" s="358"/>
      <c r="G139" s="372"/>
      <c r="H139" s="358"/>
      <c r="I139" s="358"/>
      <c r="J139" s="372"/>
      <c r="K139" s="351"/>
      <c r="L139" s="353"/>
      <c r="M139" s="351"/>
      <c r="N139" s="353"/>
      <c r="O139" s="351"/>
      <c r="P139" s="353"/>
      <c r="Q139" s="383"/>
    </row>
    <row r="140" spans="1:17" x14ac:dyDescent="0.35">
      <c r="A140" s="369"/>
      <c r="B140" s="372"/>
      <c r="C140" s="358"/>
      <c r="D140" s="358"/>
      <c r="E140" s="381"/>
      <c r="F140" s="358"/>
      <c r="G140" s="372"/>
      <c r="H140" s="358"/>
      <c r="I140" s="358"/>
      <c r="J140" s="372"/>
      <c r="K140" s="351"/>
      <c r="L140" s="353"/>
      <c r="M140" s="351"/>
      <c r="N140" s="353"/>
      <c r="O140" s="351"/>
      <c r="P140" s="353"/>
      <c r="Q140" s="383"/>
    </row>
    <row r="141" spans="1:17" x14ac:dyDescent="0.35">
      <c r="A141" s="369"/>
      <c r="B141" s="372"/>
      <c r="C141" s="358"/>
      <c r="D141" s="358"/>
      <c r="E141" s="381"/>
      <c r="F141" s="358"/>
      <c r="G141" s="372"/>
      <c r="H141" s="358"/>
      <c r="I141" s="358"/>
      <c r="J141" s="372"/>
      <c r="K141" s="351"/>
      <c r="L141" s="353"/>
      <c r="M141" s="351"/>
      <c r="N141" s="353"/>
      <c r="O141" s="351"/>
      <c r="P141" s="353"/>
      <c r="Q141" s="383"/>
    </row>
    <row r="142" spans="1:17" x14ac:dyDescent="0.35">
      <c r="A142" s="369"/>
      <c r="B142" s="372"/>
      <c r="C142" s="358"/>
      <c r="D142" s="358"/>
      <c r="E142" s="381"/>
      <c r="F142" s="358"/>
      <c r="G142" s="372"/>
      <c r="H142" s="358"/>
      <c r="I142" s="358"/>
      <c r="J142" s="372"/>
      <c r="K142" s="351"/>
      <c r="L142" s="353"/>
      <c r="M142" s="351"/>
      <c r="N142" s="353"/>
      <c r="O142" s="351"/>
      <c r="P142" s="353"/>
      <c r="Q142" s="383"/>
    </row>
    <row r="143" spans="1:17" x14ac:dyDescent="0.35">
      <c r="A143" s="369"/>
      <c r="B143" s="372"/>
      <c r="C143" s="358"/>
      <c r="D143" s="358"/>
      <c r="E143" s="381"/>
      <c r="F143" s="358"/>
      <c r="G143" s="372"/>
      <c r="H143" s="358"/>
      <c r="I143" s="358"/>
      <c r="J143" s="372"/>
      <c r="K143" s="351"/>
      <c r="L143" s="353"/>
      <c r="M143" s="351"/>
      <c r="N143" s="353"/>
      <c r="O143" s="351"/>
      <c r="P143" s="353"/>
      <c r="Q143" s="383"/>
    </row>
    <row r="144" spans="1:17" x14ac:dyDescent="0.35">
      <c r="A144" s="370"/>
      <c r="B144" s="373"/>
      <c r="C144" s="359"/>
      <c r="D144" s="359"/>
      <c r="E144" s="382"/>
      <c r="F144" s="359"/>
      <c r="G144" s="373"/>
      <c r="H144" s="359"/>
      <c r="I144" s="80"/>
      <c r="J144" s="373"/>
      <c r="K144" s="402"/>
      <c r="L144" s="385"/>
      <c r="M144" s="402"/>
      <c r="N144" s="385"/>
      <c r="O144" s="198"/>
      <c r="P144" s="385"/>
      <c r="Q144" s="383"/>
    </row>
    <row r="145" spans="1:17" x14ac:dyDescent="0.35">
      <c r="A145" s="118"/>
      <c r="B145" s="119">
        <f ca="1">'график с повышеной%'!C34</f>
        <v>44228</v>
      </c>
      <c r="C145" s="120"/>
      <c r="D145" s="121">
        <f>'график с повышеной%'!E34</f>
        <v>1000000</v>
      </c>
      <c r="E145" s="122"/>
      <c r="F145" s="121"/>
      <c r="G145" s="122"/>
      <c r="H145" s="122">
        <f>'график с повышеной%'!P34</f>
        <v>0</v>
      </c>
      <c r="I145" s="122">
        <f>'график с повышеной%'!M34</f>
        <v>10000</v>
      </c>
      <c r="J145" s="122">
        <f>'график с повышеной%'!N34</f>
        <v>0</v>
      </c>
      <c r="K145" s="122">
        <f>'график с повышеной%'!O34</f>
        <v>2181</v>
      </c>
      <c r="L145" s="199">
        <f>'график с повышеной%'!I34</f>
        <v>0</v>
      </c>
      <c r="M145" s="199">
        <f>'график с повышеной%'!J34</f>
        <v>0</v>
      </c>
      <c r="N145" s="199">
        <f>'график с повышеной%'!K34</f>
        <v>59900</v>
      </c>
      <c r="O145" s="199">
        <f>'график с повышеной%'!L34</f>
        <v>0</v>
      </c>
      <c r="P145" s="123"/>
      <c r="Q145" s="142"/>
    </row>
    <row r="146" spans="1:17" x14ac:dyDescent="0.35">
      <c r="A146" s="124">
        <f>'график с повышеной%'!A35</f>
        <v>1</v>
      </c>
      <c r="B146" s="130">
        <f ca="1">'график с повышеной%'!C35</f>
        <v>44256</v>
      </c>
      <c r="C146" s="131">
        <f ca="1">'график с повышеной%'!D35</f>
        <v>28</v>
      </c>
      <c r="D146" s="132">
        <f ca="1">'график с повышеной%'!E35</f>
        <v>983333.33333333337</v>
      </c>
      <c r="E146" s="45">
        <f>'график с повышеной%'!H35</f>
        <v>16666.666666666668</v>
      </c>
      <c r="F146" s="45">
        <f ca="1">'график с повышеной%'!F35</f>
        <v>16666.666666666668</v>
      </c>
      <c r="G146" s="45">
        <f ca="1">'график с повышеной%'!G35</f>
        <v>0</v>
      </c>
      <c r="H146" s="133"/>
      <c r="I146" s="133">
        <f>'график с повышеной%'!M35</f>
        <v>0</v>
      </c>
      <c r="J146" s="127">
        <f>'график с повышеной%'!N35</f>
        <v>0</v>
      </c>
      <c r="K146" s="127">
        <f>'график с повышеной%'!O35</f>
        <v>0</v>
      </c>
      <c r="L146" s="127">
        <f>'график с повышеной%'!I35</f>
        <v>0</v>
      </c>
      <c r="M146" s="127">
        <f>'график с повышеной%'!J35</f>
        <v>0</v>
      </c>
      <c r="N146" s="127">
        <f>'график с повышеной%'!K35</f>
        <v>0</v>
      </c>
      <c r="O146" s="127">
        <f>'график с повышеной%'!L35</f>
        <v>0</v>
      </c>
      <c r="P146" s="50" t="str">
        <f>'график с повышеной%'!Q35</f>
        <v/>
      </c>
      <c r="Q146" s="48">
        <f>'график с повышеной%'!R35</f>
        <v>0</v>
      </c>
    </row>
    <row r="147" spans="1:17" x14ac:dyDescent="0.35">
      <c r="A147" s="124">
        <f>'график с повышеной%'!A36</f>
        <v>2</v>
      </c>
      <c r="B147" s="130">
        <f ca="1">'график с повышеной%'!C36</f>
        <v>44287</v>
      </c>
      <c r="C147" s="131">
        <f ca="1">'график с повышеной%'!D36</f>
        <v>31</v>
      </c>
      <c r="D147" s="132">
        <f ca="1">'график с повышеной%'!E36</f>
        <v>966666.66666666674</v>
      </c>
      <c r="E147" s="45">
        <f ca="1">'график с повышеной%'!H36</f>
        <v>16666.666666666668</v>
      </c>
      <c r="F147" s="45">
        <f ca="1">'график с повышеной%'!F36</f>
        <v>16666.666666666668</v>
      </c>
      <c r="G147" s="45">
        <f ca="1">'график с повышеной%'!G36</f>
        <v>0</v>
      </c>
      <c r="H147" s="133"/>
      <c r="I147" s="133">
        <f>'график с повышеной%'!M36</f>
        <v>0</v>
      </c>
      <c r="J147" s="127">
        <f>'график с повышеной%'!N36</f>
        <v>0</v>
      </c>
      <c r="K147" s="127">
        <f>'график с повышеной%'!O36</f>
        <v>0</v>
      </c>
      <c r="L147" s="127">
        <f>'график с повышеной%'!I36</f>
        <v>0</v>
      </c>
      <c r="M147" s="127">
        <f>'график с повышеной%'!J36</f>
        <v>0</v>
      </c>
      <c r="N147" s="127">
        <f>'график с повышеной%'!K36</f>
        <v>0</v>
      </c>
      <c r="O147" s="127">
        <f>'график с повышеной%'!L36</f>
        <v>0</v>
      </c>
      <c r="P147" s="50" t="str">
        <f>'график с повышеной%'!Q36</f>
        <v/>
      </c>
      <c r="Q147" s="48">
        <f>'график с повышеной%'!R36</f>
        <v>0</v>
      </c>
    </row>
    <row r="148" spans="1:17" x14ac:dyDescent="0.35">
      <c r="A148" s="124">
        <f>'график с повышеной%'!A37</f>
        <v>3</v>
      </c>
      <c r="B148" s="130">
        <f ca="1">'график с повышеной%'!C37</f>
        <v>44317</v>
      </c>
      <c r="C148" s="131">
        <f ca="1">'график с повышеной%'!D37</f>
        <v>30</v>
      </c>
      <c r="D148" s="132">
        <f ca="1">'график с повышеной%'!E37</f>
        <v>950000.00000000012</v>
      </c>
      <c r="E148" s="45">
        <f ca="1">'график с повышеной%'!H37</f>
        <v>16666.666666666668</v>
      </c>
      <c r="F148" s="45">
        <f ca="1">'график с повышеной%'!F37</f>
        <v>16666.666666666668</v>
      </c>
      <c r="G148" s="45">
        <f ca="1">'график с повышеной%'!G37</f>
        <v>0</v>
      </c>
      <c r="H148" s="133"/>
      <c r="I148" s="133">
        <f>'график с повышеной%'!M37</f>
        <v>0</v>
      </c>
      <c r="J148" s="127">
        <f>'график с повышеной%'!N37</f>
        <v>0</v>
      </c>
      <c r="K148" s="127">
        <f>'график с повышеной%'!O37</f>
        <v>0</v>
      </c>
      <c r="L148" s="127">
        <f>'график с повышеной%'!I37</f>
        <v>0</v>
      </c>
      <c r="M148" s="127">
        <f>'график с повышеной%'!J37</f>
        <v>0</v>
      </c>
      <c r="N148" s="127">
        <f>'график с повышеной%'!K37</f>
        <v>0</v>
      </c>
      <c r="O148" s="127">
        <f>'график с повышеной%'!L37</f>
        <v>0</v>
      </c>
      <c r="P148" s="50" t="str">
        <f>'график с повышеной%'!Q37</f>
        <v/>
      </c>
      <c r="Q148" s="117" t="str">
        <f>'график с повышеной%'!R37</f>
        <v/>
      </c>
    </row>
    <row r="149" spans="1:17" x14ac:dyDescent="0.35">
      <c r="A149" s="124">
        <f>'график с повышеной%'!A38</f>
        <v>4</v>
      </c>
      <c r="B149" s="130">
        <f ca="1">'график с повышеной%'!C38</f>
        <v>44348</v>
      </c>
      <c r="C149" s="131">
        <f ca="1">'график с повышеной%'!D38</f>
        <v>31</v>
      </c>
      <c r="D149" s="132">
        <f ca="1">'график с повышеной%'!E38</f>
        <v>942756.23104485613</v>
      </c>
      <c r="E149" s="45">
        <f ca="1">'график с повышеной%'!H38</f>
        <v>31441.179914048091</v>
      </c>
      <c r="F149" s="45">
        <f ca="1">'график с повышеной%'!F38</f>
        <v>7243.7689551439762</v>
      </c>
      <c r="G149" s="45">
        <f ca="1">'график с повышеной%'!G38</f>
        <v>24197.410958904115</v>
      </c>
      <c r="H149" s="133"/>
      <c r="I149" s="133">
        <f>'график с повышеной%'!M38</f>
        <v>0</v>
      </c>
      <c r="J149" s="127">
        <f>'график с повышеной%'!N38</f>
        <v>0</v>
      </c>
      <c r="K149" s="127">
        <f>'график с повышеной%'!O38</f>
        <v>0</v>
      </c>
      <c r="L149" s="127">
        <f>'график с повышеной%'!I38</f>
        <v>0</v>
      </c>
      <c r="M149" s="127">
        <f>'график с повышеной%'!J38</f>
        <v>0</v>
      </c>
      <c r="N149" s="127">
        <f>'график с повышеной%'!K38</f>
        <v>0</v>
      </c>
      <c r="O149" s="127">
        <f>'график с повышеной%'!L38</f>
        <v>0</v>
      </c>
      <c r="P149" s="50" t="str">
        <f>'график с повышеной%'!Q38</f>
        <v/>
      </c>
      <c r="Q149" s="117" t="str">
        <f>'график с повышеной%'!R38</f>
        <v/>
      </c>
    </row>
    <row r="150" spans="1:17" x14ac:dyDescent="0.35">
      <c r="A150" s="124">
        <f>'график с повышеной%'!A39</f>
        <v>5</v>
      </c>
      <c r="B150" s="130">
        <f ca="1">'график с повышеной%'!C39</f>
        <v>44378</v>
      </c>
      <c r="C150" s="131">
        <f ca="1">'график с повышеной%'!D39</f>
        <v>30</v>
      </c>
      <c r="D150" s="132">
        <f ca="1">'график с повышеной%'!E39</f>
        <v>934553.34650261782</v>
      </c>
      <c r="E150" s="45">
        <f ca="1">'график с повышеной%'!H39</f>
        <v>31441.179914048091</v>
      </c>
      <c r="F150" s="45">
        <f ca="1">'график с повышеной%'!F39</f>
        <v>8202.8845422383092</v>
      </c>
      <c r="G150" s="45">
        <f ca="1">'график с повышеной%'!G39</f>
        <v>23238.295371809781</v>
      </c>
      <c r="H150" s="45"/>
      <c r="I150" s="133" t="str">
        <f>'график с повышеной%'!M39</f>
        <v/>
      </c>
      <c r="J150" s="127" t="str">
        <f>'график с повышеной%'!N39</f>
        <v/>
      </c>
      <c r="K150" s="127" t="str">
        <f>'график с повышеной%'!O39</f>
        <v/>
      </c>
      <c r="L150" s="127" t="str">
        <f>'график с повышеной%'!I39</f>
        <v/>
      </c>
      <c r="M150" s="127" t="str">
        <f>'график с повышеной%'!J39</f>
        <v/>
      </c>
      <c r="N150" s="127" t="str">
        <f>'график с повышеной%'!K39</f>
        <v/>
      </c>
      <c r="O150" s="127" t="str">
        <f>'график с повышеной%'!L39</f>
        <v/>
      </c>
      <c r="P150" s="50" t="str">
        <f>'график с повышеной%'!Q39</f>
        <v/>
      </c>
      <c r="Q150" s="117" t="str">
        <f>'график с повышеной%'!R39</f>
        <v/>
      </c>
    </row>
    <row r="151" spans="1:17" x14ac:dyDescent="0.35">
      <c r="A151" s="124">
        <f>'график с повышеной%'!A40</f>
        <v>6</v>
      </c>
      <c r="B151" s="130">
        <f ca="1">'график с повышеной%'!C40</f>
        <v>44409</v>
      </c>
      <c r="C151" s="131">
        <f ca="1">'график с повышеной%'!D40</f>
        <v>31</v>
      </c>
      <c r="D151" s="132">
        <f ca="1">'график с повышеной%'!E40</f>
        <v>926916.13647103601</v>
      </c>
      <c r="E151" s="45">
        <f ca="1">'график с повышеной%'!H40</f>
        <v>31441.179914048091</v>
      </c>
      <c r="F151" s="45">
        <f ca="1">'график с повышеной%'!F40</f>
        <v>7637.2100315818243</v>
      </c>
      <c r="G151" s="45">
        <f ca="1">'график с повышеной%'!G40</f>
        <v>23803.969882466266</v>
      </c>
      <c r="H151" s="45"/>
      <c r="I151" s="133" t="str">
        <f>'график с повышеной%'!M40</f>
        <v/>
      </c>
      <c r="J151" s="127">
        <f>'график с повышеной%'!N40</f>
        <v>0</v>
      </c>
      <c r="K151" s="127" t="str">
        <f>'график с повышеной%'!O40</f>
        <v/>
      </c>
      <c r="L151" s="127" t="str">
        <f>'график с повышеной%'!I40</f>
        <v/>
      </c>
      <c r="M151" s="127" t="str">
        <f>'график с повышеной%'!J40</f>
        <v/>
      </c>
      <c r="N151" s="127" t="str">
        <f>'график с повышеной%'!K40</f>
        <v/>
      </c>
      <c r="O151" s="127" t="str">
        <f>'график с повышеной%'!L40</f>
        <v/>
      </c>
      <c r="P151" s="50" t="str">
        <f>'график с повышеной%'!Q40</f>
        <v/>
      </c>
      <c r="Q151" s="117" t="str">
        <f>'график с повышеной%'!R40</f>
        <v/>
      </c>
    </row>
    <row r="152" spans="1:17" x14ac:dyDescent="0.35">
      <c r="A152" s="124">
        <f>'график с повышеной%'!A41</f>
        <v>7</v>
      </c>
      <c r="B152" s="130">
        <f ca="1">'график с повышеной%'!C41</f>
        <v>44440</v>
      </c>
      <c r="C152" s="131">
        <f ca="1">'график с повышеной%'!D41</f>
        <v>31</v>
      </c>
      <c r="D152" s="132">
        <f ca="1">'график с повышеной%'!E41</f>
        <v>919084.39937659772</v>
      </c>
      <c r="E152" s="45">
        <f ca="1">'график с повышеной%'!H41</f>
        <v>31441.179914048091</v>
      </c>
      <c r="F152" s="45">
        <f ca="1">'график с повышеной%'!F41</f>
        <v>7831.7370944382965</v>
      </c>
      <c r="G152" s="45">
        <f ca="1">'график с повышеной%'!G41</f>
        <v>23609.442819609794</v>
      </c>
      <c r="H152" s="45"/>
      <c r="I152" s="133" t="str">
        <f>'график с повышеной%'!M41</f>
        <v/>
      </c>
      <c r="J152" s="127">
        <f>'график с повышеной%'!N41</f>
        <v>0</v>
      </c>
      <c r="K152" s="127" t="str">
        <f>'график с повышеной%'!O41</f>
        <v/>
      </c>
      <c r="L152" s="127" t="str">
        <f>'график с повышеной%'!I41</f>
        <v/>
      </c>
      <c r="M152" s="127" t="str">
        <f>'график с повышеной%'!J41</f>
        <v/>
      </c>
      <c r="N152" s="127" t="str">
        <f>'график с повышеной%'!K41</f>
        <v/>
      </c>
      <c r="O152" s="127" t="str">
        <f>'график с повышеной%'!L41</f>
        <v/>
      </c>
      <c r="P152" s="50" t="str">
        <f>'график с повышеной%'!Q41</f>
        <v/>
      </c>
      <c r="Q152" s="117" t="str">
        <f>'график с повышеной%'!R41</f>
        <v/>
      </c>
    </row>
    <row r="153" spans="1:17" x14ac:dyDescent="0.35">
      <c r="A153" s="124">
        <f>'график с повышеной%'!A42</f>
        <v>8</v>
      </c>
      <c r="B153" s="130">
        <f ca="1">'график с повышеной%'!C42</f>
        <v>44470</v>
      </c>
      <c r="C153" s="131">
        <f ca="1">'график с повышеной%'!D42</f>
        <v>30</v>
      </c>
      <c r="D153" s="132">
        <f ca="1">'график с повышеной%'!E42</f>
        <v>910298.02039732016</v>
      </c>
      <c r="E153" s="45">
        <f ca="1">'график с повышеной%'!H42</f>
        <v>31441.179914048091</v>
      </c>
      <c r="F153" s="45">
        <f ca="1">'график с повышеной%'!F42</f>
        <v>8786.3789792775424</v>
      </c>
      <c r="G153" s="45">
        <f ca="1">'график с повышеной%'!G42</f>
        <v>22654.800934770548</v>
      </c>
      <c r="H153" s="45"/>
      <c r="I153" s="133" t="str">
        <f>'график с повышеной%'!M42</f>
        <v/>
      </c>
      <c r="J153" s="127">
        <f>'график с повышеной%'!N42</f>
        <v>0</v>
      </c>
      <c r="K153" s="127" t="str">
        <f>'график с повышеной%'!O42</f>
        <v/>
      </c>
      <c r="L153" s="127" t="str">
        <f>'график с повышеной%'!I42</f>
        <v/>
      </c>
      <c r="M153" s="127" t="str">
        <f>'график с повышеной%'!J42</f>
        <v/>
      </c>
      <c r="N153" s="127" t="str">
        <f>'график с повышеной%'!K42</f>
        <v/>
      </c>
      <c r="O153" s="127" t="str">
        <f>'график с повышеной%'!L42</f>
        <v/>
      </c>
      <c r="P153" s="50" t="str">
        <f>'график с повышеной%'!Q42</f>
        <v/>
      </c>
      <c r="Q153" s="117" t="str">
        <f>'график с повышеной%'!R42</f>
        <v/>
      </c>
    </row>
    <row r="154" spans="1:17" x14ac:dyDescent="0.35">
      <c r="A154" s="124">
        <f>'график с повышеной%'!A43</f>
        <v>9</v>
      </c>
      <c r="B154" s="130">
        <f ca="1">'график с повышеной%'!C43</f>
        <v>44501</v>
      </c>
      <c r="C154" s="131">
        <f ca="1">'график с повышеной%'!D43</f>
        <v>31</v>
      </c>
      <c r="D154" s="132">
        <f ca="1">'график с повышеной%'!E43</f>
        <v>902043.00395130448</v>
      </c>
      <c r="E154" s="45">
        <f ca="1">'график с повышеной%'!H43</f>
        <v>31441.179914048091</v>
      </c>
      <c r="F154" s="45">
        <f ca="1">'график с повышеной%'!F43</f>
        <v>8255.0164460156375</v>
      </c>
      <c r="G154" s="45">
        <f ca="1">'график с повышеной%'!G43</f>
        <v>23186.163468032453</v>
      </c>
      <c r="H154" s="45"/>
      <c r="I154" s="133" t="str">
        <f>'график с повышеной%'!M43</f>
        <v/>
      </c>
      <c r="J154" s="127">
        <f>'график с повышеной%'!N43</f>
        <v>0</v>
      </c>
      <c r="K154" s="127" t="str">
        <f>'график с повышеной%'!O43</f>
        <v/>
      </c>
      <c r="L154" s="127" t="str">
        <f>'график с повышеной%'!I43</f>
        <v/>
      </c>
      <c r="M154" s="127" t="str">
        <f>'график с повышеной%'!J43</f>
        <v/>
      </c>
      <c r="N154" s="127" t="str">
        <f>'график с повышеной%'!K43</f>
        <v/>
      </c>
      <c r="O154" s="127" t="str">
        <f>'график с повышеной%'!L43</f>
        <v/>
      </c>
      <c r="P154" s="50" t="str">
        <f>'график с повышеной%'!Q43</f>
        <v/>
      </c>
      <c r="Q154" s="117" t="str">
        <f>'график с повышеной%'!R43</f>
        <v/>
      </c>
    </row>
    <row r="155" spans="1:17" x14ac:dyDescent="0.35">
      <c r="A155" s="124">
        <f>'график с повышеной%'!A44</f>
        <v>10</v>
      </c>
      <c r="B155" s="130">
        <f ca="1">'график с повышеной%'!C44</f>
        <v>44531</v>
      </c>
      <c r="C155" s="131">
        <f ca="1">'график с повышеной%'!D44</f>
        <v>30</v>
      </c>
      <c r="D155" s="132">
        <f ca="1">'график с повышеной%'!E44</f>
        <v>892836.56624698208</v>
      </c>
      <c r="E155" s="45">
        <f ca="1">'график с повышеной%'!H44</f>
        <v>31441.179914048091</v>
      </c>
      <c r="F155" s="45">
        <f ca="1">'график с повышеной%'!F44</f>
        <v>9206.4377043223722</v>
      </c>
      <c r="G155" s="45">
        <f ca="1">'график с повышеной%'!G44</f>
        <v>22234.742209725719</v>
      </c>
      <c r="H155" s="45"/>
      <c r="I155" s="133" t="str">
        <f>'график с повышеной%'!M44</f>
        <v/>
      </c>
      <c r="J155" s="127">
        <f>'график с повышеной%'!N44</f>
        <v>0</v>
      </c>
      <c r="K155" s="127" t="str">
        <f>'график с повышеной%'!O44</f>
        <v/>
      </c>
      <c r="L155" s="127" t="str">
        <f>'график с повышеной%'!I44</f>
        <v/>
      </c>
      <c r="M155" s="127" t="str">
        <f>'график с повышеной%'!J44</f>
        <v/>
      </c>
      <c r="N155" s="127" t="str">
        <f>'график с повышеной%'!K44</f>
        <v/>
      </c>
      <c r="O155" s="127" t="str">
        <f>'график с повышеной%'!L44</f>
        <v/>
      </c>
      <c r="P155" s="50" t="str">
        <f>'график с повышеной%'!Q44</f>
        <v/>
      </c>
      <c r="Q155" s="117" t="str">
        <f>'график с повышеной%'!R44</f>
        <v/>
      </c>
    </row>
    <row r="156" spans="1:17" x14ac:dyDescent="0.35">
      <c r="A156" s="124">
        <f>'график с повышеной%'!A45</f>
        <v>11</v>
      </c>
      <c r="B156" s="130">
        <f ca="1">'график с повышеной%'!C45</f>
        <v>44562</v>
      </c>
      <c r="C156" s="131">
        <f ca="1">'график с повышеной%'!D45</f>
        <v>31</v>
      </c>
      <c r="D156" s="132">
        <f ca="1">'график с повышеной%'!E45</f>
        <v>884136.78981989715</v>
      </c>
      <c r="E156" s="45">
        <f ca="1">'график с повышеной%'!H45</f>
        <v>31441.179914048091</v>
      </c>
      <c r="F156" s="45">
        <f ca="1">'график с повышеной%'!F45</f>
        <v>8699.7764270848929</v>
      </c>
      <c r="G156" s="45">
        <f ca="1">'график с повышеной%'!G45</f>
        <v>22741.403486963198</v>
      </c>
      <c r="H156" s="45"/>
      <c r="I156" s="133" t="str">
        <f>'график с повышеной%'!M45</f>
        <v/>
      </c>
      <c r="J156" s="127">
        <f>'график с повышеной%'!N45</f>
        <v>0</v>
      </c>
      <c r="K156" s="127" t="str">
        <f>'график с повышеной%'!O45</f>
        <v/>
      </c>
      <c r="L156" s="127" t="str">
        <f>'график с повышеной%'!I45</f>
        <v/>
      </c>
      <c r="M156" s="127" t="str">
        <f>'график с повышеной%'!J45</f>
        <v/>
      </c>
      <c r="N156" s="127" t="str">
        <f>'график с повышеной%'!K45</f>
        <v/>
      </c>
      <c r="O156" s="127" t="str">
        <f>'график с повышеной%'!L45</f>
        <v/>
      </c>
      <c r="P156" s="50" t="str">
        <f>'график с повышеной%'!Q45</f>
        <v/>
      </c>
      <c r="Q156" s="117" t="str">
        <f>'график с повышеной%'!R45</f>
        <v/>
      </c>
    </row>
    <row r="157" spans="1:17" x14ac:dyDescent="0.35">
      <c r="A157" s="124">
        <f>'график с повышеной%'!A46</f>
        <v>12</v>
      </c>
      <c r="B157" s="130">
        <f ca="1">'график с повышеной%'!C46</f>
        <v>44593</v>
      </c>
      <c r="C157" s="131">
        <f ca="1">'график с повышеной%'!D46</f>
        <v>31</v>
      </c>
      <c r="D157" s="132">
        <f ca="1">'график с повышеной%'!E46</f>
        <v>875215.42174496304</v>
      </c>
      <c r="E157" s="45">
        <f ca="1">'график с повышеной%'!H46</f>
        <v>31441.179914048091</v>
      </c>
      <c r="F157" s="45">
        <f ca="1">'график с повышеной%'!F46</f>
        <v>8921.3680749341111</v>
      </c>
      <c r="G157" s="45">
        <f ca="1">'график с повышеной%'!G46</f>
        <v>22519.81183911398</v>
      </c>
      <c r="H157" s="45"/>
      <c r="I157" s="133" t="str">
        <f>'график с повышеной%'!M46</f>
        <v/>
      </c>
      <c r="J157" s="127">
        <f>'график с повышеной%'!N46</f>
        <v>0</v>
      </c>
      <c r="K157" s="127" t="str">
        <f>'график с повышеной%'!O46</f>
        <v/>
      </c>
      <c r="L157" s="127" t="str">
        <f>'график с повышеной%'!I46</f>
        <v/>
      </c>
      <c r="M157" s="127" t="str">
        <f>'график с повышеной%'!J46</f>
        <v/>
      </c>
      <c r="N157" s="127" t="str">
        <f>'график с повышеной%'!K46</f>
        <v/>
      </c>
      <c r="O157" s="127" t="str">
        <f>'график с повышеной%'!L46</f>
        <v/>
      </c>
      <c r="P157" s="50" t="str">
        <f>'график с повышеной%'!Q46</f>
        <v/>
      </c>
      <c r="Q157" s="117" t="str">
        <f>'график с повышеной%'!R46</f>
        <v/>
      </c>
    </row>
    <row r="158" spans="1:17" x14ac:dyDescent="0.35">
      <c r="A158" s="124">
        <f>'график с повышеной%'!A47</f>
        <v>13</v>
      </c>
      <c r="B158" s="130">
        <f ca="1">'график с повышеной%'!C47</f>
        <v>44621</v>
      </c>
      <c r="C158" s="131">
        <f ca="1">'график с повышеной%'!D47</f>
        <v>28</v>
      </c>
      <c r="D158" s="132">
        <f ca="1">'график с повышеной%'!E47</f>
        <v>863909.47180208424</v>
      </c>
      <c r="E158" s="45">
        <f ca="1">'график с повышеной%'!H47</f>
        <v>31441.179914048091</v>
      </c>
      <c r="F158" s="45">
        <f ca="1">'график с повышеной%'!F47</f>
        <v>11305.949942878764</v>
      </c>
      <c r="G158" s="45">
        <f ca="1">'график с повышеной%'!G47</f>
        <v>20135.229971169327</v>
      </c>
      <c r="H158" s="45"/>
      <c r="I158" s="122" t="str">
        <f>'график с повышеной%'!M47</f>
        <v/>
      </c>
      <c r="J158" s="127">
        <f>'график с повышеной%'!N47</f>
        <v>0</v>
      </c>
      <c r="K158" s="197">
        <f>'график с повышеной%'!O47</f>
        <v>2181</v>
      </c>
      <c r="L158" s="197" t="str">
        <f>'график с повышеной%'!I47</f>
        <v/>
      </c>
      <c r="M158" s="197" t="str">
        <f>'график с повышеной%'!J47</f>
        <v/>
      </c>
      <c r="N158" s="197" t="str">
        <f>'график с повышеной%'!K47</f>
        <v/>
      </c>
      <c r="O158" s="197" t="str">
        <f>'график с повышеной%'!L47</f>
        <v/>
      </c>
      <c r="P158" s="50" t="str">
        <f>'график с повышеной%'!Q47</f>
        <v/>
      </c>
      <c r="Q158" s="117" t="str">
        <f>'график с повышеной%'!R47</f>
        <v/>
      </c>
    </row>
    <row r="159" spans="1:17" x14ac:dyDescent="0.35">
      <c r="A159" s="124">
        <f>'график с повышеной%'!A48</f>
        <v>14</v>
      </c>
      <c r="B159" s="130">
        <f ca="1">'график с повышеной%'!C48</f>
        <v>44652</v>
      </c>
      <c r="C159" s="131">
        <f ca="1">'график с повышеной%'!D48</f>
        <v>31</v>
      </c>
      <c r="D159" s="132">
        <f ca="1">'график с повышеной%'!E48</f>
        <v>854472.89454117802</v>
      </c>
      <c r="E159" s="45">
        <f ca="1">'график с повышеной%'!H48</f>
        <v>31441.179914048091</v>
      </c>
      <c r="F159" s="45">
        <f ca="1">'график с повышеной%'!F48</f>
        <v>9436.5772609061823</v>
      </c>
      <c r="G159" s="45">
        <f ca="1">'график с повышеной%'!G48</f>
        <v>22004.602653141908</v>
      </c>
      <c r="H159" s="45"/>
      <c r="I159" s="133" t="str">
        <f>'график с повышеной%'!M48</f>
        <v/>
      </c>
      <c r="J159" s="127" t="str">
        <f>'график с повышеной%'!N48</f>
        <v/>
      </c>
      <c r="K159" s="127" t="str">
        <f>'график с повышеной%'!O48</f>
        <v/>
      </c>
      <c r="L159" s="127" t="str">
        <f>'график с повышеной%'!I48</f>
        <v/>
      </c>
      <c r="M159" s="127" t="str">
        <f>'график с повышеной%'!J48</f>
        <v/>
      </c>
      <c r="N159" s="127" t="str">
        <f>'график с повышеной%'!K48</f>
        <v/>
      </c>
      <c r="O159" s="127" t="str">
        <f>'график с повышеной%'!L48</f>
        <v/>
      </c>
      <c r="P159" s="50" t="str">
        <f>'график с повышеной%'!Q48</f>
        <v/>
      </c>
      <c r="Q159" s="117" t="str">
        <f>'график с повышеной%'!R48</f>
        <v/>
      </c>
    </row>
    <row r="160" spans="1:17" x14ac:dyDescent="0.35">
      <c r="A160" s="124">
        <f>'график с повышеной%'!A49</f>
        <v>15</v>
      </c>
      <c r="B160" s="130">
        <f ca="1">'график с повышеной%'!C49</f>
        <v>44682</v>
      </c>
      <c r="C160" s="131">
        <f ca="1">'график с повышеной%'!D49</f>
        <v>30</v>
      </c>
      <c r="D160" s="132">
        <f ca="1">'график с повышеной%'!E49</f>
        <v>844093.88622216275</v>
      </c>
      <c r="E160" s="45">
        <f ca="1">'график с повышеной%'!H49</f>
        <v>31441.179914048091</v>
      </c>
      <c r="F160" s="45">
        <f ca="1">'график с повышеной%'!F49</f>
        <v>10379.008319015273</v>
      </c>
      <c r="G160" s="45">
        <f ca="1">'график с повышеной%'!G49</f>
        <v>21062.171595032818</v>
      </c>
      <c r="H160" s="45"/>
      <c r="I160" s="133" t="str">
        <f>'график с повышеной%'!M49</f>
        <v/>
      </c>
      <c r="J160" s="127" t="str">
        <f>'график с повышеной%'!N49</f>
        <v/>
      </c>
      <c r="K160" s="127" t="str">
        <f>'график с повышеной%'!O49</f>
        <v/>
      </c>
      <c r="L160" s="127" t="str">
        <f>'график с повышеной%'!I49</f>
        <v/>
      </c>
      <c r="M160" s="127" t="str">
        <f>'график с повышеной%'!J49</f>
        <v/>
      </c>
      <c r="N160" s="127" t="str">
        <f>'график с повышеной%'!K49</f>
        <v/>
      </c>
      <c r="O160" s="127" t="str">
        <f>'график с повышеной%'!L49</f>
        <v/>
      </c>
      <c r="P160" s="50" t="str">
        <f>'график с повышеной%'!Q49</f>
        <v/>
      </c>
      <c r="Q160" s="117" t="str">
        <f>'график с повышеной%'!R49</f>
        <v/>
      </c>
    </row>
    <row r="161" spans="1:17" x14ac:dyDescent="0.35">
      <c r="A161" s="124">
        <f>'график с повышеной%'!A50</f>
        <v>16</v>
      </c>
      <c r="B161" s="130">
        <f ca="1">'график с повышеной%'!C50</f>
        <v>44713</v>
      </c>
      <c r="C161" s="131">
        <f ca="1">'график с повышеной%'!D50</f>
        <v>31</v>
      </c>
      <c r="D161" s="132">
        <f ca="1">'график с повышеной%'!E50</f>
        <v>834152.58699528954</v>
      </c>
      <c r="E161" s="45">
        <f ca="1">'график с повышеной%'!H50</f>
        <v>31441.179914048091</v>
      </c>
      <c r="F161" s="45">
        <f ca="1">'график с повышеной%'!F50</f>
        <v>9941.2992268732269</v>
      </c>
      <c r="G161" s="45">
        <f ca="1">'график с повышеной%'!G50</f>
        <v>21499.880687174864</v>
      </c>
      <c r="H161" s="45"/>
      <c r="I161" s="133" t="str">
        <f>'график с повышеной%'!M50</f>
        <v/>
      </c>
      <c r="J161" s="127" t="str">
        <f>'график с повышеной%'!N50</f>
        <v/>
      </c>
      <c r="K161" s="127" t="str">
        <f>'график с повышеной%'!O50</f>
        <v/>
      </c>
      <c r="L161" s="127" t="str">
        <f>'график с повышеной%'!I50</f>
        <v/>
      </c>
      <c r="M161" s="127" t="str">
        <f>'график с повышеной%'!J50</f>
        <v/>
      </c>
      <c r="N161" s="127" t="str">
        <f>'график с повышеной%'!K50</f>
        <v/>
      </c>
      <c r="O161" s="127" t="str">
        <f>'график с повышеной%'!L50</f>
        <v/>
      </c>
      <c r="P161" s="50" t="str">
        <f>'график с повышеной%'!Q50</f>
        <v/>
      </c>
      <c r="Q161" s="117" t="str">
        <f>'график с повышеной%'!R50</f>
        <v/>
      </c>
    </row>
    <row r="162" spans="1:17" x14ac:dyDescent="0.35">
      <c r="A162" s="124">
        <f>'график с повышеной%'!A51</f>
        <v>17</v>
      </c>
      <c r="B162" s="130">
        <f ca="1">'график с повышеной%'!C51</f>
        <v>44743</v>
      </c>
      <c r="C162" s="131">
        <f ca="1">'график с повышеной%'!D51</f>
        <v>30</v>
      </c>
      <c r="D162" s="132">
        <f ca="1">'график с повышеной%'!E51</f>
        <v>823272.69701328699</v>
      </c>
      <c r="E162" s="45">
        <f ca="1">'график с повышеной%'!H51</f>
        <v>31441.179914048091</v>
      </c>
      <c r="F162" s="45">
        <f ca="1">'график с повышеной%'!F51</f>
        <v>10879.889982002554</v>
      </c>
      <c r="G162" s="45">
        <f ca="1">'график с повышеной%'!G51</f>
        <v>20561.289932045536</v>
      </c>
      <c r="H162" s="45"/>
      <c r="I162" s="133" t="str">
        <f>'график с повышеной%'!M51</f>
        <v/>
      </c>
      <c r="J162" s="127" t="str">
        <f>'график с повышеной%'!N51</f>
        <v/>
      </c>
      <c r="K162" s="127" t="str">
        <f>'график с повышеной%'!O51</f>
        <v/>
      </c>
      <c r="L162" s="127" t="str">
        <f>'график с повышеной%'!I51</f>
        <v/>
      </c>
      <c r="M162" s="127" t="str">
        <f>'график с повышеной%'!J51</f>
        <v/>
      </c>
      <c r="N162" s="127" t="str">
        <f>'график с повышеной%'!K51</f>
        <v/>
      </c>
      <c r="O162" s="127" t="str">
        <f>'график с повышеной%'!L51</f>
        <v/>
      </c>
      <c r="P162" s="50" t="str">
        <f>'график с повышеной%'!Q51</f>
        <v/>
      </c>
      <c r="Q162" s="117" t="str">
        <f>'график с повышеной%'!R51</f>
        <v/>
      </c>
    </row>
    <row r="163" spans="1:17" x14ac:dyDescent="0.35">
      <c r="A163" s="124">
        <f>'график с повышеной%'!A52</f>
        <v>18</v>
      </c>
      <c r="B163" s="130">
        <f ca="1">'график с повышеной%'!C52</f>
        <v>44774</v>
      </c>
      <c r="C163" s="131">
        <f ca="1">'график с повышеной%'!D52</f>
        <v>31</v>
      </c>
      <c r="D163" s="132">
        <f ca="1">'график с повышеной%'!E52</f>
        <v>812801.0621317398</v>
      </c>
      <c r="E163" s="45">
        <f ca="1">'график с повышеной%'!H52</f>
        <v>31441.179914048091</v>
      </c>
      <c r="F163" s="45">
        <f ca="1">'график с повышеной%'!F52</f>
        <v>10471.634881547194</v>
      </c>
      <c r="G163" s="45">
        <f ca="1">'график с повышеной%'!G52</f>
        <v>20969.545032500897</v>
      </c>
      <c r="H163" s="45"/>
      <c r="I163" s="133" t="str">
        <f>'график с повышеной%'!M52</f>
        <v/>
      </c>
      <c r="J163" s="127" t="str">
        <f>'график с повышеной%'!N52</f>
        <v/>
      </c>
      <c r="K163" s="127" t="str">
        <f>'график с повышеной%'!O52</f>
        <v/>
      </c>
      <c r="L163" s="127" t="str">
        <f>'график с повышеной%'!I52</f>
        <v/>
      </c>
      <c r="M163" s="127" t="str">
        <f>'график с повышеной%'!J52</f>
        <v/>
      </c>
      <c r="N163" s="127" t="str">
        <f>'график с повышеной%'!K52</f>
        <v/>
      </c>
      <c r="O163" s="127" t="str">
        <f>'график с повышеной%'!L52</f>
        <v/>
      </c>
      <c r="P163" s="50" t="str">
        <f>'график с повышеной%'!Q52</f>
        <v/>
      </c>
      <c r="Q163" s="117" t="str">
        <f>'график с повышеной%'!R52</f>
        <v/>
      </c>
    </row>
    <row r="164" spans="1:17" x14ac:dyDescent="0.35">
      <c r="A164" s="124">
        <f>'график с повышеной%'!A53</f>
        <v>19</v>
      </c>
      <c r="B164" s="130">
        <f ca="1">'график с повышеной%'!C53</f>
        <v>44805</v>
      </c>
      <c r="C164" s="131">
        <f ca="1">'график с повышеной%'!D53</f>
        <v>31</v>
      </c>
      <c r="D164" s="132">
        <f ca="1">'график с повышеной%'!E53</f>
        <v>802062.70466846589</v>
      </c>
      <c r="E164" s="45">
        <f ca="1">'график с повышеной%'!H53</f>
        <v>31441.179914048091</v>
      </c>
      <c r="F164" s="45">
        <f ca="1">'график с повышеной%'!F53</f>
        <v>10738.357463273922</v>
      </c>
      <c r="G164" s="45">
        <f ca="1">'график с повышеной%'!G53</f>
        <v>20702.822450774169</v>
      </c>
      <c r="H164" s="45"/>
      <c r="I164" s="133" t="str">
        <f>'график с повышеной%'!M53</f>
        <v/>
      </c>
      <c r="J164" s="127" t="str">
        <f>'график с повышеной%'!N53</f>
        <v/>
      </c>
      <c r="K164" s="127" t="str">
        <f>'график с повышеной%'!O53</f>
        <v/>
      </c>
      <c r="L164" s="127" t="str">
        <f>'график с повышеной%'!I53</f>
        <v/>
      </c>
      <c r="M164" s="127" t="str">
        <f>'график с повышеной%'!J53</f>
        <v/>
      </c>
      <c r="N164" s="127" t="str">
        <f>'график с повышеной%'!K53</f>
        <v/>
      </c>
      <c r="O164" s="127" t="str">
        <f>'график с повышеной%'!L53</f>
        <v/>
      </c>
      <c r="P164" s="50" t="str">
        <f>'график с повышеной%'!Q53</f>
        <v/>
      </c>
      <c r="Q164" s="117" t="str">
        <f>'график с повышеной%'!R53</f>
        <v/>
      </c>
    </row>
    <row r="165" spans="1:17" x14ac:dyDescent="0.35">
      <c r="A165" s="124">
        <f>'график с повышеной%'!A54</f>
        <v>20</v>
      </c>
      <c r="B165" s="130">
        <f ca="1">'график с повышеной%'!C54</f>
        <v>44835</v>
      </c>
      <c r="C165" s="131">
        <f ca="1">'график с повышеной%'!D54</f>
        <v>30</v>
      </c>
      <c r="D165" s="132">
        <f ca="1">'график с повышеной%'!E54</f>
        <v>790391.82106647862</v>
      </c>
      <c r="E165" s="45">
        <f ca="1">'график с повышеной%'!H54</f>
        <v>31441.179914048091</v>
      </c>
      <c r="F165" s="45">
        <f ca="1">'график с повышеной%'!F54</f>
        <v>11670.883601987302</v>
      </c>
      <c r="G165" s="45">
        <f ca="1">'график с повышеной%'!G54</f>
        <v>19770.296312060789</v>
      </c>
      <c r="H165" s="45"/>
      <c r="I165" s="133" t="str">
        <f>'график с повышеной%'!M54</f>
        <v/>
      </c>
      <c r="J165" s="127" t="str">
        <f>'график с повышеной%'!N54</f>
        <v/>
      </c>
      <c r="K165" s="127" t="str">
        <f>'график с повышеной%'!O54</f>
        <v/>
      </c>
      <c r="L165" s="127" t="str">
        <f>'график с повышеной%'!I54</f>
        <v/>
      </c>
      <c r="M165" s="127" t="str">
        <f>'график с повышеной%'!J54</f>
        <v/>
      </c>
      <c r="N165" s="127" t="str">
        <f>'график с повышеной%'!K54</f>
        <v/>
      </c>
      <c r="O165" s="127" t="str">
        <f>'график с повышеной%'!L54</f>
        <v/>
      </c>
      <c r="P165" s="50" t="str">
        <f>'график с повышеной%'!Q54</f>
        <v/>
      </c>
      <c r="Q165" s="117" t="str">
        <f>'график с повышеной%'!R54</f>
        <v/>
      </c>
    </row>
    <row r="166" spans="1:17" x14ac:dyDescent="0.35">
      <c r="A166" s="124">
        <f>'график с повышеной%'!A55</f>
        <v>21</v>
      </c>
      <c r="B166" s="130">
        <f ca="1">'график с повышеной%'!C55</f>
        <v>44866</v>
      </c>
      <c r="C166" s="131">
        <f ca="1">'график с повышеной%'!D55</f>
        <v>31</v>
      </c>
      <c r="D166" s="132">
        <f ca="1">'график с повышеной%'!E55</f>
        <v>779082.67874495918</v>
      </c>
      <c r="E166" s="45">
        <f ca="1">'график с повышеной%'!H55</f>
        <v>31441.179914048091</v>
      </c>
      <c r="F166" s="45">
        <f ca="1">'график с повышеной%'!F55</f>
        <v>11309.142321519477</v>
      </c>
      <c r="G166" s="45">
        <f ca="1">'график с повышеной%'!G55</f>
        <v>20132.037592528613</v>
      </c>
      <c r="H166" s="45"/>
      <c r="I166" s="133" t="str">
        <f>'график с повышеной%'!M55</f>
        <v/>
      </c>
      <c r="J166" s="127" t="str">
        <f>'график с повышеной%'!N55</f>
        <v/>
      </c>
      <c r="K166" s="127" t="str">
        <f>'график с повышеной%'!O55</f>
        <v/>
      </c>
      <c r="L166" s="127" t="str">
        <f>'график с повышеной%'!I55</f>
        <v/>
      </c>
      <c r="M166" s="127" t="str">
        <f>'график с повышеной%'!J55</f>
        <v/>
      </c>
      <c r="N166" s="127" t="str">
        <f>'график с повышеной%'!K55</f>
        <v/>
      </c>
      <c r="O166" s="127" t="str">
        <f>'график с повышеной%'!L55</f>
        <v/>
      </c>
      <c r="P166" s="50" t="str">
        <f>'график с повышеной%'!Q55</f>
        <v/>
      </c>
      <c r="Q166" s="117" t="str">
        <f>'график с повышеной%'!R55</f>
        <v/>
      </c>
    </row>
    <row r="167" spans="1:17" x14ac:dyDescent="0.35">
      <c r="A167" s="124">
        <f>'график с повышеной%'!A56</f>
        <v>22</v>
      </c>
      <c r="B167" s="130">
        <f ca="1">'график с повышеной%'!C56</f>
        <v>44896</v>
      </c>
      <c r="C167" s="131">
        <f ca="1">'график с повышеной%'!D56</f>
        <v>30</v>
      </c>
      <c r="D167" s="132">
        <f ca="1">'график с повышеной%'!E56</f>
        <v>766845.35324370128</v>
      </c>
      <c r="E167" s="45">
        <f ca="1">'график с повышеной%'!H56</f>
        <v>31441.179914048091</v>
      </c>
      <c r="F167" s="45">
        <f ca="1">'график с повышеной%'!F56</f>
        <v>12237.325501257958</v>
      </c>
      <c r="G167" s="45">
        <f ca="1">'график с повышеной%'!G56</f>
        <v>19203.854412790133</v>
      </c>
      <c r="H167" s="45"/>
      <c r="I167" s="133" t="str">
        <f>'график с повышеной%'!M56</f>
        <v/>
      </c>
      <c r="J167" s="127" t="str">
        <f>'график с повышеной%'!N56</f>
        <v/>
      </c>
      <c r="K167" s="127" t="str">
        <f>'график с повышеной%'!O56</f>
        <v/>
      </c>
      <c r="L167" s="127" t="str">
        <f>'график с повышеной%'!I56</f>
        <v/>
      </c>
      <c r="M167" s="127" t="str">
        <f>'график с повышеной%'!J56</f>
        <v/>
      </c>
      <c r="N167" s="127" t="str">
        <f>'график с повышеной%'!K56</f>
        <v/>
      </c>
      <c r="O167" s="127" t="str">
        <f>'график с повышеной%'!L56</f>
        <v/>
      </c>
      <c r="P167" s="50" t="str">
        <f>'график с повышеной%'!Q56</f>
        <v/>
      </c>
      <c r="Q167" s="117" t="str">
        <f>'график с повышеной%'!R56</f>
        <v/>
      </c>
    </row>
    <row r="168" spans="1:17" x14ac:dyDescent="0.35">
      <c r="A168" s="124">
        <f>'график с повышеной%'!A57</f>
        <v>23</v>
      </c>
      <c r="B168" s="130">
        <f ca="1">'график с повышеной%'!C57</f>
        <v>44927</v>
      </c>
      <c r="C168" s="131">
        <f ca="1">'график с повышеной%'!D57</f>
        <v>31</v>
      </c>
      <c r="D168" s="132">
        <f ca="1">'график с повышеной%'!E57</f>
        <v>754936.45980793086</v>
      </c>
      <c r="E168" s="45">
        <f ca="1">'график с повышеной%'!H57</f>
        <v>31441.179914048091</v>
      </c>
      <c r="F168" s="45">
        <f ca="1">'график с повышеной%'!F57</f>
        <v>11908.893435770373</v>
      </c>
      <c r="G168" s="45">
        <f ca="1">'график с повышеной%'!G57</f>
        <v>19532.286478277718</v>
      </c>
      <c r="H168" s="45"/>
      <c r="I168" s="133" t="str">
        <f>'график с повышеной%'!M57</f>
        <v/>
      </c>
      <c r="J168" s="127" t="str">
        <f>'график с повышеной%'!N57</f>
        <v/>
      </c>
      <c r="K168" s="127" t="str">
        <f>'график с повышеной%'!O57</f>
        <v/>
      </c>
      <c r="L168" s="127" t="str">
        <f>'график с повышеной%'!I57</f>
        <v/>
      </c>
      <c r="M168" s="127" t="str">
        <f>'график с повышеной%'!J57</f>
        <v/>
      </c>
      <c r="N168" s="127" t="str">
        <f>'график с повышеной%'!K57</f>
        <v/>
      </c>
      <c r="O168" s="127" t="str">
        <f>'график с повышеной%'!L57</f>
        <v/>
      </c>
      <c r="P168" s="50" t="str">
        <f>'график с повышеной%'!Q57</f>
        <v/>
      </c>
      <c r="Q168" s="117" t="str">
        <f>'график с повышеной%'!R57</f>
        <v/>
      </c>
    </row>
    <row r="169" spans="1:17" x14ac:dyDescent="0.35">
      <c r="A169" s="124">
        <f>'график с повышеной%'!A58</f>
        <v>24</v>
      </c>
      <c r="B169" s="130">
        <f ca="1">'график с повышеной%'!C58</f>
        <v>44958</v>
      </c>
      <c r="C169" s="131">
        <f ca="1">'график с повышеной%'!D58</f>
        <v>31</v>
      </c>
      <c r="D169" s="132">
        <f ca="1">'график с повышеной%'!E58</f>
        <v>742724.23543686455</v>
      </c>
      <c r="E169" s="45">
        <f ca="1">'график с повышеной%'!H58</f>
        <v>31441.179914048091</v>
      </c>
      <c r="F169" s="45">
        <f ca="1">'график с повышеной%'!F58</f>
        <v>12212.224371066306</v>
      </c>
      <c r="G169" s="45">
        <f ca="1">'график с повышеной%'!G58</f>
        <v>19228.955542981785</v>
      </c>
      <c r="H169" s="45"/>
      <c r="I169" s="133" t="str">
        <f>'график с повышеной%'!M58</f>
        <v/>
      </c>
      <c r="J169" s="127" t="str">
        <f>'график с повышеной%'!N58</f>
        <v/>
      </c>
      <c r="K169" s="127" t="str">
        <f>'график с повышеной%'!O58</f>
        <v/>
      </c>
      <c r="L169" s="127" t="str">
        <f>'график с повышеной%'!I58</f>
        <v/>
      </c>
      <c r="M169" s="127" t="str">
        <f>'график с повышеной%'!J58</f>
        <v/>
      </c>
      <c r="N169" s="127" t="str">
        <f>'график с повышеной%'!K58</f>
        <v/>
      </c>
      <c r="O169" s="127" t="str">
        <f>'график с повышеной%'!L58</f>
        <v/>
      </c>
      <c r="P169" s="50" t="str">
        <f>'график с повышеной%'!Q58</f>
        <v/>
      </c>
      <c r="Q169" s="117" t="str">
        <f>'график с повышеной%'!R58</f>
        <v/>
      </c>
    </row>
    <row r="170" spans="1:17" x14ac:dyDescent="0.35">
      <c r="A170" s="124">
        <f>'график с повышеной%'!A59</f>
        <v>25</v>
      </c>
      <c r="B170" s="130">
        <f ca="1">'график с повышеной%'!C59</f>
        <v>44986</v>
      </c>
      <c r="C170" s="131">
        <f ca="1">'график с повышеной%'!D59</f>
        <v>28</v>
      </c>
      <c r="D170" s="132">
        <f ca="1">'график с повышеной%'!E59</f>
        <v>728370.1896318862</v>
      </c>
      <c r="E170" s="45">
        <f ca="1">'график с повышеной%'!H59</f>
        <v>31441.179914048091</v>
      </c>
      <c r="F170" s="45">
        <f ca="1">'график с повышеной%'!F59</f>
        <v>14354.045804978392</v>
      </c>
      <c r="G170" s="45">
        <f ca="1">'график с повышеной%'!G59</f>
        <v>17087.134109069699</v>
      </c>
      <c r="H170" s="200"/>
      <c r="I170" s="200" t="str">
        <f>'график с повышеной%'!M59</f>
        <v/>
      </c>
      <c r="J170" s="197" t="str">
        <f>'график с повышеной%'!N59</f>
        <v/>
      </c>
      <c r="K170" s="197">
        <f>'график с повышеной%'!O59</f>
        <v>2181</v>
      </c>
      <c r="L170" s="197" t="str">
        <f>'график с повышеной%'!I59</f>
        <v/>
      </c>
      <c r="M170" s="197" t="str">
        <f>'график с повышеной%'!J59</f>
        <v/>
      </c>
      <c r="N170" s="197" t="str">
        <f>'график с повышеной%'!K59</f>
        <v/>
      </c>
      <c r="O170" s="197" t="str">
        <f>'график с повышеной%'!L59</f>
        <v/>
      </c>
      <c r="P170" s="50" t="str">
        <f>'график с повышеной%'!Q59</f>
        <v/>
      </c>
      <c r="Q170" s="117" t="str">
        <f>'график с повышеной%'!R59</f>
        <v/>
      </c>
    </row>
    <row r="171" spans="1:17" x14ac:dyDescent="0.35">
      <c r="A171" s="124">
        <f>'график с повышеной%'!A60</f>
        <v>26</v>
      </c>
      <c r="B171" s="130">
        <f ca="1">'график с повышеной%'!C60</f>
        <v>45017</v>
      </c>
      <c r="C171" s="131">
        <f ca="1">'график с повышеной%'!D60</f>
        <v>31</v>
      </c>
      <c r="D171" s="132">
        <f ca="1">'график с повышеной%'!E60</f>
        <v>715481.29688493034</v>
      </c>
      <c r="E171" s="45">
        <f ca="1">'график с повышеной%'!H60</f>
        <v>31441.179914048091</v>
      </c>
      <c r="F171" s="45">
        <f ca="1">'график с повышеной%'!F60</f>
        <v>12888.892746955811</v>
      </c>
      <c r="G171" s="45">
        <f ca="1">'график с повышеной%'!G60</f>
        <v>18552.28716709228</v>
      </c>
      <c r="H171" s="45"/>
      <c r="I171" s="133" t="str">
        <f>'график с повышеной%'!M60</f>
        <v/>
      </c>
      <c r="J171" s="127" t="str">
        <f>'график с повышеной%'!N60</f>
        <v/>
      </c>
      <c r="K171" s="127" t="str">
        <f>'график с повышеной%'!O60</f>
        <v/>
      </c>
      <c r="L171" s="127" t="str">
        <f>'график с повышеной%'!I60</f>
        <v/>
      </c>
      <c r="M171" s="127" t="str">
        <f>'график с повышеной%'!J60</f>
        <v/>
      </c>
      <c r="N171" s="127" t="str">
        <f>'график с повышеной%'!K60</f>
        <v/>
      </c>
      <c r="O171" s="127" t="str">
        <f>'график с повышеной%'!L60</f>
        <v/>
      </c>
      <c r="P171" s="50" t="str">
        <f>'график с повышеной%'!Q60</f>
        <v/>
      </c>
      <c r="Q171" s="117" t="str">
        <f>'график с повышеной%'!R60</f>
        <v/>
      </c>
    </row>
    <row r="172" spans="1:17" x14ac:dyDescent="0.35">
      <c r="A172" s="124">
        <f>'график с повышеной%'!A61</f>
        <v>27</v>
      </c>
      <c r="B172" s="130">
        <f ca="1">'график с повышеной%'!C61</f>
        <v>45047</v>
      </c>
      <c r="C172" s="131">
        <f ca="1">'график с повышеной%'!D61</f>
        <v>30</v>
      </c>
      <c r="D172" s="132">
        <f ca="1">'график с повышеной%'!E61</f>
        <v>701676.240883413</v>
      </c>
      <c r="E172" s="45">
        <f ca="1">'график с повышеной%'!H61</f>
        <v>31441.179914048091</v>
      </c>
      <c r="F172" s="45">
        <f ca="1">'график с повышеной%'!F61</f>
        <v>13805.056001517354</v>
      </c>
      <c r="G172" s="45">
        <f ca="1">'график с повышеной%'!G61</f>
        <v>17636.123912530737</v>
      </c>
      <c r="H172" s="45"/>
      <c r="I172" s="133" t="str">
        <f>'график с повышеной%'!M61</f>
        <v/>
      </c>
      <c r="J172" s="127" t="str">
        <f>'график с повышеной%'!N61</f>
        <v/>
      </c>
      <c r="K172" s="127" t="str">
        <f>'график с повышеной%'!O61</f>
        <v/>
      </c>
      <c r="L172" s="127" t="str">
        <f>'график с повышеной%'!I61</f>
        <v/>
      </c>
      <c r="M172" s="127" t="str">
        <f>'график с повышеной%'!J61</f>
        <v/>
      </c>
      <c r="N172" s="127" t="str">
        <f>'график с повышеной%'!K61</f>
        <v/>
      </c>
      <c r="O172" s="127" t="str">
        <f>'график с повышеной%'!L61</f>
        <v/>
      </c>
      <c r="P172" s="50" t="str">
        <f>'график с повышеной%'!Q61</f>
        <v/>
      </c>
      <c r="Q172" s="117" t="str">
        <f>'график с повышеной%'!R61</f>
        <v/>
      </c>
    </row>
    <row r="173" spans="1:17" x14ac:dyDescent="0.35">
      <c r="A173" s="124">
        <f>'график с повышеной%'!A62</f>
        <v>28</v>
      </c>
      <c r="B173" s="130">
        <f ca="1">'график с повышеной%'!C62</f>
        <v>45078</v>
      </c>
      <c r="C173" s="131">
        <f ca="1">'график с повышеной%'!D62</f>
        <v>31</v>
      </c>
      <c r="D173" s="132">
        <f ca="1">'график с повышеной%'!E62</f>
        <v>688107.42766489647</v>
      </c>
      <c r="E173" s="45">
        <f ca="1">'график с повышеной%'!H62</f>
        <v>31441.179914048091</v>
      </c>
      <c r="F173" s="45">
        <f ca="1">'график с повышеной%'!F62</f>
        <v>13568.813218516578</v>
      </c>
      <c r="G173" s="45">
        <f ca="1">'график с повышеной%'!G62</f>
        <v>17872.366695531513</v>
      </c>
      <c r="H173" s="45"/>
      <c r="I173" s="133" t="str">
        <f>'график с повышеной%'!M62</f>
        <v/>
      </c>
      <c r="J173" s="127" t="str">
        <f>'график с повышеной%'!N62</f>
        <v/>
      </c>
      <c r="K173" s="127" t="str">
        <f>'график с повышеной%'!O62</f>
        <v/>
      </c>
      <c r="L173" s="127" t="str">
        <f>'график с повышеной%'!I62</f>
        <v/>
      </c>
      <c r="M173" s="127" t="str">
        <f>'график с повышеной%'!J62</f>
        <v/>
      </c>
      <c r="N173" s="127" t="str">
        <f>'график с повышеной%'!K62</f>
        <v/>
      </c>
      <c r="O173" s="127" t="str">
        <f>'график с повышеной%'!L62</f>
        <v/>
      </c>
      <c r="P173" s="50" t="str">
        <f>'график с повышеной%'!Q62</f>
        <v/>
      </c>
      <c r="Q173" s="117" t="str">
        <f>'график с повышеной%'!R62</f>
        <v/>
      </c>
    </row>
    <row r="174" spans="1:17" x14ac:dyDescent="0.35">
      <c r="A174" s="124">
        <f>'график с повышеной%'!A63</f>
        <v>29</v>
      </c>
      <c r="B174" s="130">
        <f ca="1">'график с повышеной%'!C63</f>
        <v>45108</v>
      </c>
      <c r="C174" s="131">
        <f ca="1">'график с повышеной%'!D63</f>
        <v>30</v>
      </c>
      <c r="D174" s="132">
        <f ca="1">'график с повышеной%'!E63</f>
        <v>673627.62453633081</v>
      </c>
      <c r="E174" s="45">
        <f ca="1">'график с повышеной%'!H63</f>
        <v>31441.179914048091</v>
      </c>
      <c r="F174" s="45">
        <f ca="1">'график с повышеной%'!F63</f>
        <v>14479.803128565698</v>
      </c>
      <c r="G174" s="45">
        <f ca="1">'график с повышеной%'!G63</f>
        <v>16961.376785482393</v>
      </c>
      <c r="H174" s="45"/>
      <c r="I174" s="133" t="str">
        <f>'график с повышеной%'!M63</f>
        <v/>
      </c>
      <c r="J174" s="127" t="str">
        <f>'график с повышеной%'!N63</f>
        <v/>
      </c>
      <c r="K174" s="127" t="str">
        <f>'график с повышеной%'!O63</f>
        <v/>
      </c>
      <c r="L174" s="127" t="str">
        <f>'график с повышеной%'!I63</f>
        <v/>
      </c>
      <c r="M174" s="127" t="str">
        <f>'график с повышеной%'!J63</f>
        <v/>
      </c>
      <c r="N174" s="127" t="str">
        <f>'график с повышеной%'!K63</f>
        <v/>
      </c>
      <c r="O174" s="127" t="str">
        <f>'график с повышеной%'!L63</f>
        <v/>
      </c>
      <c r="P174" s="50" t="str">
        <f>'график с повышеной%'!Q63</f>
        <v/>
      </c>
      <c r="Q174" s="117" t="str">
        <f>'график с повышеной%'!R63</f>
        <v/>
      </c>
    </row>
    <row r="175" spans="1:17" x14ac:dyDescent="0.35">
      <c r="A175" s="124">
        <f>'график с повышеной%'!A64</f>
        <v>30</v>
      </c>
      <c r="B175" s="130">
        <f ca="1">'график с повышеной%'!C64</f>
        <v>45139</v>
      </c>
      <c r="C175" s="131">
        <f ca="1">'график с повышеной%'!D64</f>
        <v>31</v>
      </c>
      <c r="D175" s="132">
        <f ca="1">'график с повышеной%'!E64</f>
        <v>659344.38616352063</v>
      </c>
      <c r="E175" s="45">
        <f ca="1">'график с повышеной%'!H64</f>
        <v>31441.179914048091</v>
      </c>
      <c r="F175" s="45">
        <f ca="1">'график с повышеной%'!F64</f>
        <v>14283.238372810243</v>
      </c>
      <c r="G175" s="45">
        <f ca="1">'график с повышеной%'!G64</f>
        <v>17157.941541237848</v>
      </c>
      <c r="H175" s="45"/>
      <c r="I175" s="133" t="str">
        <f>'график с повышеной%'!M64</f>
        <v/>
      </c>
      <c r="J175" s="127" t="str">
        <f>'график с повышеной%'!N64</f>
        <v/>
      </c>
      <c r="K175" s="127" t="str">
        <f>'график с повышеной%'!O64</f>
        <v/>
      </c>
      <c r="L175" s="127" t="str">
        <f>'график с повышеной%'!I64</f>
        <v/>
      </c>
      <c r="M175" s="127" t="str">
        <f>'график с повышеной%'!J64</f>
        <v/>
      </c>
      <c r="N175" s="127" t="str">
        <f>'график с повышеной%'!K64</f>
        <v/>
      </c>
      <c r="O175" s="127" t="str">
        <f>'график с повышеной%'!L64</f>
        <v/>
      </c>
      <c r="P175" s="50" t="str">
        <f>'график с повышеной%'!Q64</f>
        <v/>
      </c>
      <c r="Q175" s="117" t="str">
        <f>'график с повышеной%'!R64</f>
        <v/>
      </c>
    </row>
    <row r="176" spans="1:17" x14ac:dyDescent="0.35">
      <c r="A176" s="124">
        <f>'график с повышеной%'!A65</f>
        <v>31</v>
      </c>
      <c r="B176" s="130">
        <f ca="1">'график с повышеной%'!C65</f>
        <v>45170</v>
      </c>
      <c r="C176" s="131">
        <f ca="1">'график с повышеной%'!D65</f>
        <v>31</v>
      </c>
      <c r="D176" s="132">
        <f ca="1">'график с повышеной%'!E65</f>
        <v>644697.3400130989</v>
      </c>
      <c r="E176" s="45">
        <f ca="1">'график с повышеной%'!H65</f>
        <v>31441.179914048091</v>
      </c>
      <c r="F176" s="45">
        <f ca="1">'график с повышеной%'!F65</f>
        <v>14647.046150421695</v>
      </c>
      <c r="G176" s="45">
        <f ca="1">'график с повышеной%'!G65</f>
        <v>16794.133763626396</v>
      </c>
      <c r="H176" s="45"/>
      <c r="I176" s="133" t="str">
        <f>'график с повышеной%'!M65</f>
        <v/>
      </c>
      <c r="J176" s="127" t="str">
        <f>'график с повышеной%'!N65</f>
        <v/>
      </c>
      <c r="K176" s="127" t="str">
        <f>'график с повышеной%'!O65</f>
        <v/>
      </c>
      <c r="L176" s="127" t="str">
        <f>'график с повышеной%'!I65</f>
        <v/>
      </c>
      <c r="M176" s="127" t="str">
        <f>'график с повышеной%'!J65</f>
        <v/>
      </c>
      <c r="N176" s="127" t="str">
        <f>'график с повышеной%'!K65</f>
        <v/>
      </c>
      <c r="O176" s="127" t="str">
        <f>'график с повышеной%'!L65</f>
        <v/>
      </c>
      <c r="P176" s="50" t="str">
        <f>'график с повышеной%'!Q65</f>
        <v/>
      </c>
      <c r="Q176" s="117" t="str">
        <f>'график с повышеной%'!R65</f>
        <v/>
      </c>
    </row>
    <row r="177" spans="1:17" x14ac:dyDescent="0.35">
      <c r="A177" s="124">
        <f>'график с повышеной%'!A66</f>
        <v>32</v>
      </c>
      <c r="B177" s="130">
        <f ca="1">'график с повышеной%'!C66</f>
        <v>45200</v>
      </c>
      <c r="C177" s="131">
        <f ca="1">'график с повышеной%'!D66</f>
        <v>30</v>
      </c>
      <c r="D177" s="132">
        <f ca="1">'график с повышеной%'!E66</f>
        <v>629147.50795685314</v>
      </c>
      <c r="E177" s="45">
        <f ca="1">'график с повышеной%'!H66</f>
        <v>31441.179914048091</v>
      </c>
      <c r="F177" s="45">
        <f ca="1">'график с повышеной%'!F66</f>
        <v>15549.832056245757</v>
      </c>
      <c r="G177" s="45">
        <f ca="1">'график с повышеной%'!G66</f>
        <v>15891.347857802333</v>
      </c>
      <c r="H177" s="45"/>
      <c r="I177" s="133" t="str">
        <f>'график с повышеной%'!M66</f>
        <v/>
      </c>
      <c r="J177" s="127" t="str">
        <f>'график с повышеной%'!N66</f>
        <v/>
      </c>
      <c r="K177" s="127" t="str">
        <f>'график с повышеной%'!O66</f>
        <v/>
      </c>
      <c r="L177" s="127" t="str">
        <f>'график с повышеной%'!I66</f>
        <v/>
      </c>
      <c r="M177" s="127" t="str">
        <f>'график с повышеной%'!J66</f>
        <v/>
      </c>
      <c r="N177" s="127" t="str">
        <f>'график с повышеной%'!K66</f>
        <v/>
      </c>
      <c r="O177" s="127" t="str">
        <f>'график с повышеной%'!L66</f>
        <v/>
      </c>
      <c r="P177" s="50" t="str">
        <f>'график с повышеной%'!Q66</f>
        <v/>
      </c>
      <c r="Q177" s="117" t="str">
        <f>'график с повышеной%'!R66</f>
        <v/>
      </c>
    </row>
    <row r="178" spans="1:17" x14ac:dyDescent="0.35">
      <c r="A178" s="124">
        <f>'график с повышеной%'!A67</f>
        <v>33</v>
      </c>
      <c r="B178" s="130">
        <f ca="1">'график с повышеной%'!C67</f>
        <v>45231</v>
      </c>
      <c r="C178" s="131">
        <f ca="1">'график с повышеной%'!D67</f>
        <v>31</v>
      </c>
      <c r="D178" s="132">
        <f ca="1">'график с повышеной%'!E67</f>
        <v>613731.31836259703</v>
      </c>
      <c r="E178" s="45">
        <f ca="1">'график с повышеной%'!H67</f>
        <v>31441.179914048091</v>
      </c>
      <c r="F178" s="45">
        <f ca="1">'график с повышеной%'!F67</f>
        <v>15416.189594256126</v>
      </c>
      <c r="G178" s="45">
        <f ca="1">'график с повышеной%'!G67</f>
        <v>16024.990319791965</v>
      </c>
      <c r="H178" s="45"/>
      <c r="I178" s="133" t="str">
        <f>'график с повышеной%'!M67</f>
        <v/>
      </c>
      <c r="J178" s="127" t="str">
        <f>'график с повышеной%'!N67</f>
        <v/>
      </c>
      <c r="K178" s="127" t="str">
        <f>'график с повышеной%'!O67</f>
        <v/>
      </c>
      <c r="L178" s="127" t="str">
        <f>'график с повышеной%'!I67</f>
        <v/>
      </c>
      <c r="M178" s="127" t="str">
        <f>'график с повышеной%'!J67</f>
        <v/>
      </c>
      <c r="N178" s="127" t="str">
        <f>'график с повышеной%'!K67</f>
        <v/>
      </c>
      <c r="O178" s="127" t="str">
        <f>'график с повышеной%'!L67</f>
        <v/>
      </c>
      <c r="P178" s="50" t="str">
        <f>'график с повышеной%'!Q67</f>
        <v/>
      </c>
      <c r="Q178" s="117" t="str">
        <f>'график с повышеной%'!R67</f>
        <v/>
      </c>
    </row>
    <row r="179" spans="1:17" x14ac:dyDescent="0.35">
      <c r="A179" s="124">
        <f>'график с повышеной%'!A68</f>
        <v>34</v>
      </c>
      <c r="B179" s="130">
        <f ca="1">'график с повышеной%'!C68</f>
        <v>45261</v>
      </c>
      <c r="C179" s="131">
        <f ca="1">'график с повышеной%'!D68</f>
        <v>30</v>
      </c>
      <c r="D179" s="132">
        <f ca="1">'график с повышеной%'!E68</f>
        <v>597418.19508227031</v>
      </c>
      <c r="E179" s="45">
        <f ca="1">'график с повышеной%'!H68</f>
        <v>31441.179914048091</v>
      </c>
      <c r="F179" s="45">
        <f ca="1">'график с повышеной%'!F68</f>
        <v>16313.123280326761</v>
      </c>
      <c r="G179" s="45">
        <f ca="1">'график с повышеной%'!G68</f>
        <v>15128.056633721329</v>
      </c>
      <c r="H179" s="45"/>
      <c r="I179" s="133" t="str">
        <f>'график с повышеной%'!M68</f>
        <v/>
      </c>
      <c r="J179" s="127" t="str">
        <f>'график с повышеной%'!N68</f>
        <v/>
      </c>
      <c r="K179" s="127" t="str">
        <f>'график с повышеной%'!O68</f>
        <v/>
      </c>
      <c r="L179" s="127" t="str">
        <f>'график с повышеной%'!I68</f>
        <v/>
      </c>
      <c r="M179" s="127" t="str">
        <f>'график с повышеной%'!J68</f>
        <v/>
      </c>
      <c r="N179" s="127" t="str">
        <f>'график с повышеной%'!K68</f>
        <v/>
      </c>
      <c r="O179" s="127" t="str">
        <f>'график с повышеной%'!L68</f>
        <v/>
      </c>
      <c r="P179" s="50" t="str">
        <f>'график с повышеной%'!Q68</f>
        <v/>
      </c>
      <c r="Q179" s="117" t="str">
        <f>'график с повышеной%'!R68</f>
        <v/>
      </c>
    </row>
    <row r="180" spans="1:17" x14ac:dyDescent="0.35">
      <c r="A180" s="124">
        <f>'график с повышеной%'!A69</f>
        <v>35</v>
      </c>
      <c r="B180" s="130">
        <f ca="1">'график с повышеной%'!C69</f>
        <v>45292</v>
      </c>
      <c r="C180" s="131">
        <f ca="1">'график с повышеной%'!D69</f>
        <v>31</v>
      </c>
      <c r="D180" s="132">
        <f ca="1">'график с повышеной%'!E69</f>
        <v>581152.25346838718</v>
      </c>
      <c r="E180" s="45">
        <f ca="1">'график с повышеной%'!H69</f>
        <v>31441.179914048091</v>
      </c>
      <c r="F180" s="45">
        <f ca="1">'график с повышеной%'!F69</f>
        <v>16265.941613883177</v>
      </c>
      <c r="G180" s="45">
        <f ca="1">'график с повышеной%'!G69</f>
        <v>15175.238300164914</v>
      </c>
      <c r="H180" s="45"/>
      <c r="I180" s="133" t="str">
        <f>'график с повышеной%'!M69</f>
        <v/>
      </c>
      <c r="J180" s="127" t="str">
        <f>'график с повышеной%'!N69</f>
        <v/>
      </c>
      <c r="K180" s="127" t="str">
        <f>'график с повышеной%'!O69</f>
        <v/>
      </c>
      <c r="L180" s="127" t="str">
        <f>'график с повышеной%'!I69</f>
        <v/>
      </c>
      <c r="M180" s="127" t="str">
        <f>'график с повышеной%'!J69</f>
        <v/>
      </c>
      <c r="N180" s="127" t="str">
        <f>'график с повышеной%'!K69</f>
        <v/>
      </c>
      <c r="O180" s="127" t="str">
        <f>'график с повышеной%'!L69</f>
        <v/>
      </c>
      <c r="P180" s="50" t="str">
        <f>'график с повышеной%'!Q69</f>
        <v/>
      </c>
      <c r="Q180" s="117" t="str">
        <f>'график с повышеной%'!R69</f>
        <v/>
      </c>
    </row>
    <row r="181" spans="1:17" x14ac:dyDescent="0.35">
      <c r="A181" s="124">
        <f>'график с повышеной%'!A70</f>
        <v>36</v>
      </c>
      <c r="B181" s="130">
        <f ca="1">'график с повышеной%'!C70</f>
        <v>45323</v>
      </c>
      <c r="C181" s="131">
        <f ca="1">'график с повышеной%'!D70</f>
        <v>31</v>
      </c>
      <c r="D181" s="132">
        <f ca="1">'график с повышеной%'!E70</f>
        <v>564473.13471627969</v>
      </c>
      <c r="E181" s="45">
        <f ca="1">'график с повышеной%'!H70</f>
        <v>31441.179914048091</v>
      </c>
      <c r="F181" s="45">
        <f ca="1">'график с повышеной%'!F70</f>
        <v>16679.118752107519</v>
      </c>
      <c r="G181" s="45">
        <f ca="1">'график с повышеной%'!G70</f>
        <v>14762.061161940572</v>
      </c>
      <c r="H181" s="45"/>
      <c r="I181" s="133" t="str">
        <f>'график с повышеной%'!M70</f>
        <v/>
      </c>
      <c r="J181" s="127" t="str">
        <f>'график с повышеной%'!N70</f>
        <v/>
      </c>
      <c r="K181" s="127" t="str">
        <f>'график с повышеной%'!O70</f>
        <v/>
      </c>
      <c r="L181" s="127" t="str">
        <f>'график с повышеной%'!I70</f>
        <v/>
      </c>
      <c r="M181" s="127" t="str">
        <f>'график с повышеной%'!J70</f>
        <v/>
      </c>
      <c r="N181" s="127" t="str">
        <f>'график с повышеной%'!K70</f>
        <v/>
      </c>
      <c r="O181" s="127" t="str">
        <f>'график с повышеной%'!L70</f>
        <v/>
      </c>
      <c r="P181" s="50" t="str">
        <f>'график с повышеной%'!Q70</f>
        <v/>
      </c>
      <c r="Q181" s="117" t="str">
        <f>'график с повышеной%'!R70</f>
        <v/>
      </c>
    </row>
    <row r="182" spans="1:17" x14ac:dyDescent="0.35">
      <c r="A182" s="124">
        <f>'график с повышеной%'!A71</f>
        <v>37</v>
      </c>
      <c r="B182" s="130">
        <f ca="1">'график с повышеной%'!C71</f>
        <v>45352</v>
      </c>
      <c r="C182" s="131">
        <f ca="1">'график с повышеной%'!D71</f>
        <v>29</v>
      </c>
      <c r="D182" s="132">
        <f ca="1">'график с повышеной%'!E71</f>
        <v>546445.2862228353</v>
      </c>
      <c r="E182" s="45">
        <f ca="1">'график с повышеной%'!H71</f>
        <v>31441.179914048087</v>
      </c>
      <c r="F182" s="45">
        <f ca="1">'график с повышеной%'!F71</f>
        <v>18027.848493444384</v>
      </c>
      <c r="G182" s="45">
        <f ca="1">'график с повышеной%'!G71</f>
        <v>13413.331420603705</v>
      </c>
      <c r="H182" s="45"/>
      <c r="I182" s="200" t="str">
        <f>'график с повышеной%'!M71</f>
        <v/>
      </c>
      <c r="J182" s="197" t="str">
        <f>'график с повышеной%'!N71</f>
        <v/>
      </c>
      <c r="K182" s="197">
        <f>'график с повышеной%'!O71</f>
        <v>2181</v>
      </c>
      <c r="L182" s="197" t="str">
        <f>'график с повышеной%'!I71</f>
        <v/>
      </c>
      <c r="M182" s="197" t="str">
        <f>'график с повышеной%'!J71</f>
        <v/>
      </c>
      <c r="N182" s="197" t="str">
        <f>'график с повышеной%'!K71</f>
        <v/>
      </c>
      <c r="O182" s="197" t="str">
        <f>'график с повышеной%'!L71</f>
        <v/>
      </c>
      <c r="P182" s="50" t="str">
        <f>'график с повышеной%'!Q71</f>
        <v/>
      </c>
      <c r="Q182" s="117" t="str">
        <f>'график с повышеной%'!R71</f>
        <v/>
      </c>
    </row>
    <row r="183" spans="1:17" x14ac:dyDescent="0.35">
      <c r="A183" s="124">
        <f>'график с повышеной%'!A72</f>
        <v>38</v>
      </c>
      <c r="B183" s="130">
        <f ca="1">'график с повышеной%'!C72</f>
        <v>45383</v>
      </c>
      <c r="C183" s="131">
        <f ca="1">'график с повышеной%'!D72</f>
        <v>31</v>
      </c>
      <c r="D183" s="132">
        <f ca="1">'график с повышеной%'!E72</f>
        <v>528884.56308880111</v>
      </c>
      <c r="E183" s="45">
        <f ca="1">'график с повышеной%'!H72</f>
        <v>31441.179914048091</v>
      </c>
      <c r="F183" s="45">
        <f ca="1">'график с повышеной%'!F72</f>
        <v>17560.723134034215</v>
      </c>
      <c r="G183" s="45">
        <f ca="1">'график с повышеной%'!G72</f>
        <v>13880.456780013876</v>
      </c>
      <c r="H183" s="45"/>
      <c r="I183" s="133" t="str">
        <f>'график с повышеной%'!M72</f>
        <v/>
      </c>
      <c r="J183" s="127" t="str">
        <f>'график с повышеной%'!N72</f>
        <v/>
      </c>
      <c r="K183" s="127" t="str">
        <f>'график с повышеной%'!O72</f>
        <v/>
      </c>
      <c r="L183" s="127" t="str">
        <f>'график с повышеной%'!I72</f>
        <v/>
      </c>
      <c r="M183" s="127" t="str">
        <f>'график с повышеной%'!J72</f>
        <v/>
      </c>
      <c r="N183" s="127" t="str">
        <f>'график с повышеной%'!K72</f>
        <v/>
      </c>
      <c r="O183" s="127" t="str">
        <f>'график с повышеной%'!L72</f>
        <v/>
      </c>
      <c r="P183" s="50" t="str">
        <f>'график с повышеной%'!Q72</f>
        <v/>
      </c>
      <c r="Q183" s="117" t="str">
        <f>'график с повышеной%'!R72</f>
        <v/>
      </c>
    </row>
    <row r="184" spans="1:17" x14ac:dyDescent="0.35">
      <c r="A184" s="124">
        <f>'график с повышеной%'!A73</f>
        <v>39</v>
      </c>
      <c r="B184" s="130">
        <f ca="1">'график с повышеной%'!C73</f>
        <v>45413</v>
      </c>
      <c r="C184" s="131">
        <f ca="1">'график с повышеной%'!D73</f>
        <v>30</v>
      </c>
      <c r="D184" s="132">
        <f ca="1">'график с повышеной%'!E73</f>
        <v>510444.40616412443</v>
      </c>
      <c r="E184" s="45">
        <f ca="1">'график с повышеной%'!H73</f>
        <v>31441.179914048087</v>
      </c>
      <c r="F184" s="45">
        <f ca="1">'график с повышеной%'!F73</f>
        <v>18440.156924676659</v>
      </c>
      <c r="G184" s="45">
        <f ca="1">'график с повышеной%'!G73</f>
        <v>13001.02298937143</v>
      </c>
      <c r="H184" s="45"/>
      <c r="I184" s="133" t="str">
        <f>'график с повышеной%'!M73</f>
        <v/>
      </c>
      <c r="J184" s="127" t="str">
        <f>'график с повышеной%'!N73</f>
        <v/>
      </c>
      <c r="K184" s="127" t="str">
        <f>'график с повышеной%'!O73</f>
        <v/>
      </c>
      <c r="L184" s="127" t="str">
        <f>'график с повышеной%'!I73</f>
        <v/>
      </c>
      <c r="M184" s="127" t="str">
        <f>'график с повышеной%'!J73</f>
        <v/>
      </c>
      <c r="N184" s="127" t="str">
        <f>'график с повышеной%'!K73</f>
        <v/>
      </c>
      <c r="O184" s="127" t="str">
        <f>'график с повышеной%'!L73</f>
        <v/>
      </c>
      <c r="P184" s="50" t="str">
        <f>'график с повышеной%'!Q73</f>
        <v/>
      </c>
      <c r="Q184" s="117" t="str">
        <f>'график с повышеной%'!R73</f>
        <v/>
      </c>
    </row>
    <row r="185" spans="1:17" x14ac:dyDescent="0.35">
      <c r="A185" s="124">
        <f>'график с повышеной%'!A74</f>
        <v>40</v>
      </c>
      <c r="B185" s="130">
        <f ca="1">'график с повышеной%'!C74</f>
        <v>45444</v>
      </c>
      <c r="C185" s="131">
        <f ca="1">'график с повышеной%'!D74</f>
        <v>31</v>
      </c>
      <c r="D185" s="132">
        <f ca="1">'график с повышеной%'!E74</f>
        <v>491969.21149506886</v>
      </c>
      <c r="E185" s="45">
        <f ca="1">'график с повышеной%'!H74</f>
        <v>31441.179914048087</v>
      </c>
      <c r="F185" s="45">
        <f ca="1">'график с повышеной%'!F74</f>
        <v>18475.194669055607</v>
      </c>
      <c r="G185" s="45">
        <f ca="1">'график с повышеной%'!G74</f>
        <v>12965.985244992482</v>
      </c>
      <c r="H185" s="45"/>
      <c r="I185" s="133" t="str">
        <f>'график с повышеной%'!M74</f>
        <v/>
      </c>
      <c r="J185" s="127" t="str">
        <f>'график с повышеной%'!N74</f>
        <v/>
      </c>
      <c r="K185" s="127" t="str">
        <f>'график с повышеной%'!O74</f>
        <v/>
      </c>
      <c r="L185" s="127" t="str">
        <f>'график с повышеной%'!I74</f>
        <v/>
      </c>
      <c r="M185" s="127" t="str">
        <f>'график с повышеной%'!J74</f>
        <v/>
      </c>
      <c r="N185" s="127" t="str">
        <f>'график с повышеной%'!K74</f>
        <v/>
      </c>
      <c r="O185" s="127" t="str">
        <f>'график с повышеной%'!L74</f>
        <v/>
      </c>
      <c r="P185" s="50" t="str">
        <f>'график с повышеной%'!Q74</f>
        <v/>
      </c>
      <c r="Q185" s="117" t="str">
        <f>'график с повышеной%'!R74</f>
        <v/>
      </c>
    </row>
    <row r="186" spans="1:17" x14ac:dyDescent="0.35">
      <c r="A186" s="124">
        <f>'график с повышеной%'!A75</f>
        <v>41</v>
      </c>
      <c r="B186" s="130">
        <f ca="1">'график с повышеной%'!C75</f>
        <v>45474</v>
      </c>
      <c r="C186" s="131">
        <f ca="1">'график с повышеной%'!D75</f>
        <v>30</v>
      </c>
      <c r="D186" s="132">
        <f ca="1">'график с повышеной%'!E75</f>
        <v>472621.60260785447</v>
      </c>
      <c r="E186" s="45">
        <f ca="1">'график с повышеной%'!H75</f>
        <v>31441.179914048087</v>
      </c>
      <c r="F186" s="45">
        <f ca="1">'график с повышеной%'!F75</f>
        <v>19347.608887214388</v>
      </c>
      <c r="G186" s="45">
        <f ca="1">'график с повышеной%'!G75</f>
        <v>12093.571026833701</v>
      </c>
      <c r="H186" s="45"/>
      <c r="I186" s="133" t="str">
        <f>'график с повышеной%'!M75</f>
        <v/>
      </c>
      <c r="J186" s="127" t="str">
        <f>'график с повышеной%'!N75</f>
        <v/>
      </c>
      <c r="K186" s="127" t="str">
        <f>'график с повышеной%'!O75</f>
        <v/>
      </c>
      <c r="L186" s="127" t="str">
        <f>'график с повышеной%'!I75</f>
        <v/>
      </c>
      <c r="M186" s="127" t="str">
        <f>'график с повышеной%'!J75</f>
        <v/>
      </c>
      <c r="N186" s="127" t="str">
        <f>'график с повышеной%'!K75</f>
        <v/>
      </c>
      <c r="O186" s="127" t="str">
        <f>'график с повышеной%'!L75</f>
        <v/>
      </c>
      <c r="P186" s="50" t="str">
        <f>'график с повышеной%'!Q75</f>
        <v/>
      </c>
      <c r="Q186" s="117" t="str">
        <f>'график с повышеной%'!R75</f>
        <v/>
      </c>
    </row>
    <row r="187" spans="1:17" x14ac:dyDescent="0.35">
      <c r="A187" s="124">
        <f>'график с повышеной%'!A76</f>
        <v>42</v>
      </c>
      <c r="B187" s="130">
        <f ca="1">'график с повышеной%'!C76</f>
        <v>45505</v>
      </c>
      <c r="C187" s="131">
        <f ca="1">'график с повышеной%'!D76</f>
        <v>31</v>
      </c>
      <c r="D187" s="132">
        <f ca="1">'график с повышеной%'!E76</f>
        <v>453185.65705797292</v>
      </c>
      <c r="E187" s="45">
        <f ca="1">'график с повышеной%'!H76</f>
        <v>31441.179914048094</v>
      </c>
      <c r="F187" s="45">
        <f ca="1">'график с повышеной%'!F76</f>
        <v>19435.94554988153</v>
      </c>
      <c r="G187" s="45">
        <f ca="1">'график с повышеной%'!G76</f>
        <v>12005.234364166563</v>
      </c>
      <c r="H187" s="45"/>
      <c r="I187" s="133" t="str">
        <f>'график с повышеной%'!M76</f>
        <v/>
      </c>
      <c r="J187" s="127" t="str">
        <f>'график с повышеной%'!N76</f>
        <v/>
      </c>
      <c r="K187" s="127" t="str">
        <f>'график с повышеной%'!O76</f>
        <v/>
      </c>
      <c r="L187" s="127" t="str">
        <f>'график с повышеной%'!I76</f>
        <v/>
      </c>
      <c r="M187" s="127" t="str">
        <f>'график с повышеной%'!J76</f>
        <v/>
      </c>
      <c r="N187" s="127" t="str">
        <f>'график с повышеной%'!K76</f>
        <v/>
      </c>
      <c r="O187" s="127" t="str">
        <f>'график с повышеной%'!L76</f>
        <v/>
      </c>
      <c r="P187" s="50" t="str">
        <f>'график с повышеной%'!Q76</f>
        <v/>
      </c>
      <c r="Q187" s="117" t="str">
        <f>'график с повышеной%'!R76</f>
        <v/>
      </c>
    </row>
    <row r="188" spans="1:17" x14ac:dyDescent="0.35">
      <c r="A188" s="124">
        <f>'график с повышеной%'!A77</f>
        <v>43</v>
      </c>
      <c r="B188" s="130">
        <f ca="1">'график с повышеной%'!C77</f>
        <v>45536</v>
      </c>
      <c r="C188" s="131">
        <f ca="1">'график с повышеной%'!D77</f>
        <v>31</v>
      </c>
      <c r="D188" s="132">
        <f ca="1">'график с повышеной%'!E77</f>
        <v>433256.0119392862</v>
      </c>
      <c r="E188" s="45">
        <f ca="1">'график с повышеной%'!H77</f>
        <v>31441.179914048087</v>
      </c>
      <c r="F188" s="45">
        <f ca="1">'график с повышеной%'!F77</f>
        <v>19929.645118686698</v>
      </c>
      <c r="G188" s="45">
        <f ca="1">'график с повышеной%'!G77</f>
        <v>11511.534795361391</v>
      </c>
      <c r="H188" s="45"/>
      <c r="I188" s="133" t="str">
        <f>'график с повышеной%'!M77</f>
        <v/>
      </c>
      <c r="J188" s="127" t="str">
        <f>'график с повышеной%'!N77</f>
        <v/>
      </c>
      <c r="K188" s="127" t="str">
        <f>'график с повышеной%'!O77</f>
        <v/>
      </c>
      <c r="L188" s="127" t="str">
        <f>'график с повышеной%'!I77</f>
        <v/>
      </c>
      <c r="M188" s="127" t="str">
        <f>'график с повышеной%'!J77</f>
        <v/>
      </c>
      <c r="N188" s="127" t="str">
        <f>'график с повышеной%'!K77</f>
        <v/>
      </c>
      <c r="O188" s="127" t="str">
        <f>'график с повышеной%'!L77</f>
        <v/>
      </c>
      <c r="P188" s="50" t="str">
        <f>'график с повышеной%'!Q77</f>
        <v/>
      </c>
      <c r="Q188" s="117" t="str">
        <f>'график с повышеной%'!R77</f>
        <v/>
      </c>
    </row>
    <row r="189" spans="1:17" x14ac:dyDescent="0.35">
      <c r="A189" s="124">
        <f>'график с повышеной%'!A78</f>
        <v>44</v>
      </c>
      <c r="B189" s="130">
        <f ca="1">'график с повышеной%'!C78</f>
        <v>45566</v>
      </c>
      <c r="C189" s="131">
        <f ca="1">'график с повышеной%'!D78</f>
        <v>30</v>
      </c>
      <c r="D189" s="132">
        <f ca="1">'график с повышеной%'!E78</f>
        <v>412465.11710561451</v>
      </c>
      <c r="E189" s="45">
        <f ca="1">'график с повышеной%'!H78</f>
        <v>31441.179914048087</v>
      </c>
      <c r="F189" s="45">
        <f ca="1">'график с повышеной%'!F78</f>
        <v>20790.8948336717</v>
      </c>
      <c r="G189" s="45">
        <f ca="1">'график с повышеной%'!G78</f>
        <v>10650.285080376389</v>
      </c>
      <c r="H189" s="45"/>
      <c r="I189" s="133" t="str">
        <f>'график с повышеной%'!M78</f>
        <v/>
      </c>
      <c r="J189" s="127" t="str">
        <f>'график с повышеной%'!N78</f>
        <v/>
      </c>
      <c r="K189" s="127" t="str">
        <f>'график с повышеной%'!O78</f>
        <v/>
      </c>
      <c r="L189" s="127" t="str">
        <f>'график с повышеной%'!I78</f>
        <v/>
      </c>
      <c r="M189" s="127" t="str">
        <f>'график с повышеной%'!J78</f>
        <v/>
      </c>
      <c r="N189" s="127" t="str">
        <f>'график с повышеной%'!K78</f>
        <v/>
      </c>
      <c r="O189" s="127" t="str">
        <f>'график с повышеной%'!L78</f>
        <v/>
      </c>
      <c r="P189" s="50" t="str">
        <f>'график с повышеной%'!Q78</f>
        <v/>
      </c>
      <c r="Q189" s="117" t="str">
        <f>'график с повышеной%'!R78</f>
        <v/>
      </c>
    </row>
    <row r="190" spans="1:17" x14ac:dyDescent="0.35">
      <c r="A190" s="124">
        <f>'график с повышеной%'!A79</f>
        <v>45</v>
      </c>
      <c r="B190" s="130">
        <f ca="1">'график с повышеной%'!C79</f>
        <v>45597</v>
      </c>
      <c r="C190" s="131">
        <f ca="1">'график с повышеной%'!D79</f>
        <v>31</v>
      </c>
      <c r="D190" s="132">
        <f ca="1">'график с повышеной%'!E79</f>
        <v>391501.11464298499</v>
      </c>
      <c r="E190" s="45">
        <f ca="1">'график с повышеной%'!H79</f>
        <v>31441.179914048091</v>
      </c>
      <c r="F190" s="45">
        <f ca="1">'график с повышеной%'!F79</f>
        <v>20964.002462629545</v>
      </c>
      <c r="G190" s="45">
        <f ca="1">'график с повышеной%'!G79</f>
        <v>10477.177451418545</v>
      </c>
      <c r="H190" s="45"/>
      <c r="I190" s="133" t="str">
        <f>'график с повышеной%'!M79</f>
        <v/>
      </c>
      <c r="J190" s="127" t="str">
        <f>'график с повышеной%'!N79</f>
        <v/>
      </c>
      <c r="K190" s="127" t="str">
        <f>'график с повышеной%'!O79</f>
        <v/>
      </c>
      <c r="L190" s="127" t="str">
        <f>'график с повышеной%'!I79</f>
        <v/>
      </c>
      <c r="M190" s="127" t="str">
        <f>'график с повышеной%'!J79</f>
        <v/>
      </c>
      <c r="N190" s="127" t="str">
        <f>'график с повышеной%'!K79</f>
        <v/>
      </c>
      <c r="O190" s="127" t="str">
        <f>'график с повышеной%'!L79</f>
        <v/>
      </c>
      <c r="P190" s="50" t="str">
        <f>'график с повышеной%'!Q79</f>
        <v/>
      </c>
      <c r="Q190" s="117" t="str">
        <f>'график с повышеной%'!R79</f>
        <v/>
      </c>
    </row>
    <row r="191" spans="1:17" x14ac:dyDescent="0.35">
      <c r="A191" s="124">
        <f>'график с повышеной%'!A80</f>
        <v>46</v>
      </c>
      <c r="B191" s="130">
        <f ca="1">'график с повышеной%'!C80</f>
        <v>45627</v>
      </c>
      <c r="C191" s="131">
        <f ca="1">'график с повышеной%'!D80</f>
        <v>30</v>
      </c>
      <c r="D191" s="132">
        <f ca="1">'график с повышеной%'!E80</f>
        <v>369683.80229298864</v>
      </c>
      <c r="E191" s="45">
        <f ca="1">'график с повышеной%'!H80</f>
        <v>31441.179914048094</v>
      </c>
      <c r="F191" s="45">
        <f ca="1">'график с повышеной%'!F80</f>
        <v>21817.312349996355</v>
      </c>
      <c r="G191" s="45">
        <f ca="1">'график с повышеной%'!G80</f>
        <v>9623.8675640517376</v>
      </c>
      <c r="H191" s="45"/>
      <c r="I191" s="133" t="str">
        <f>'график с повышеной%'!M80</f>
        <v/>
      </c>
      <c r="J191" s="127" t="str">
        <f>'график с повышеной%'!N80</f>
        <v/>
      </c>
      <c r="K191" s="127" t="str">
        <f>'график с повышеной%'!O80</f>
        <v/>
      </c>
      <c r="L191" s="127" t="str">
        <f>'график с повышеной%'!I80</f>
        <v/>
      </c>
      <c r="M191" s="127" t="str">
        <f>'график с повышеной%'!J80</f>
        <v/>
      </c>
      <c r="N191" s="127" t="str">
        <f>'график с повышеной%'!K80</f>
        <v/>
      </c>
      <c r="O191" s="127" t="str">
        <f>'график с повышеной%'!L80</f>
        <v/>
      </c>
      <c r="P191" s="50" t="str">
        <f>'график с повышеной%'!Q80</f>
        <v/>
      </c>
      <c r="Q191" s="117" t="str">
        <f>'график с повышеной%'!R80</f>
        <v/>
      </c>
    </row>
    <row r="192" spans="1:17" x14ac:dyDescent="0.35">
      <c r="A192" s="124">
        <f>'график с повышеной%'!A81</f>
        <v>47</v>
      </c>
      <c r="B192" s="130">
        <f ca="1">'график с повышеной%'!C81</f>
        <v>45658</v>
      </c>
      <c r="C192" s="131">
        <f ca="1">'график с повышеной%'!D81</f>
        <v>31</v>
      </c>
      <c r="D192" s="132">
        <f ca="1">'график с повышеной%'!E81</f>
        <v>347658.82331466023</v>
      </c>
      <c r="E192" s="45">
        <f ca="1">'график с повышеной%'!H81</f>
        <v>31441.179914048087</v>
      </c>
      <c r="F192" s="45">
        <f ca="1">'график с повышеной%'!F81</f>
        <v>22024.9789783284</v>
      </c>
      <c r="G192" s="45">
        <f ca="1">'график с повышеной%'!G81</f>
        <v>9416.2009357196894</v>
      </c>
      <c r="H192" s="45"/>
      <c r="I192" s="133" t="str">
        <f>'график с повышеной%'!M81</f>
        <v/>
      </c>
      <c r="J192" s="127" t="str">
        <f>'график с повышеной%'!N81</f>
        <v/>
      </c>
      <c r="K192" s="127" t="str">
        <f>'график с повышеной%'!O81</f>
        <v/>
      </c>
      <c r="L192" s="127" t="str">
        <f>'график с повышеной%'!I81</f>
        <v/>
      </c>
      <c r="M192" s="127" t="str">
        <f>'график с повышеной%'!J81</f>
        <v/>
      </c>
      <c r="N192" s="127" t="str">
        <f>'график с повышеной%'!K81</f>
        <v/>
      </c>
      <c r="O192" s="127" t="str">
        <f>'график с повышеной%'!L81</f>
        <v/>
      </c>
      <c r="P192" s="50" t="str">
        <f>'график с повышеной%'!Q81</f>
        <v/>
      </c>
      <c r="Q192" s="117" t="str">
        <f>'график с повышеной%'!R81</f>
        <v/>
      </c>
    </row>
    <row r="193" spans="1:17" x14ac:dyDescent="0.35">
      <c r="A193" s="124">
        <f>'график с повышеной%'!A82</f>
        <v>48</v>
      </c>
      <c r="B193" s="130">
        <f ca="1">'график с повышеной%'!C82</f>
        <v>45689</v>
      </c>
      <c r="C193" s="131">
        <f ca="1">'график с повышеной%'!D82</f>
        <v>31</v>
      </c>
      <c r="D193" s="132">
        <f ca="1">'график с повышеной%'!E82</f>
        <v>325072.84700191097</v>
      </c>
      <c r="E193" s="45">
        <f ca="1">'график с повышеной%'!H82</f>
        <v>31441.179914048094</v>
      </c>
      <c r="F193" s="45">
        <f ca="1">'график с повышеной%'!F82</f>
        <v>22585.976312749284</v>
      </c>
      <c r="G193" s="45">
        <f ca="1">'график с повышеной%'!G82</f>
        <v>8855.2036012988083</v>
      </c>
      <c r="H193" s="45"/>
      <c r="I193" s="133" t="str">
        <f>'график с повышеной%'!M82</f>
        <v/>
      </c>
      <c r="J193" s="127" t="str">
        <f>'график с повышеной%'!N82</f>
        <v/>
      </c>
      <c r="K193" s="127" t="str">
        <f>'график с повышеной%'!O82</f>
        <v/>
      </c>
      <c r="L193" s="127" t="str">
        <f>'график с повышеной%'!I82</f>
        <v/>
      </c>
      <c r="M193" s="127" t="str">
        <f>'график с повышеной%'!J82</f>
        <v/>
      </c>
      <c r="N193" s="127" t="str">
        <f>'график с повышеной%'!K82</f>
        <v/>
      </c>
      <c r="O193" s="127" t="str">
        <f>'график с повышеной%'!L82</f>
        <v/>
      </c>
      <c r="P193" s="50" t="str">
        <f>'график с повышеной%'!Q82</f>
        <v/>
      </c>
      <c r="Q193" s="117" t="str">
        <f>'график с повышеной%'!R82</f>
        <v/>
      </c>
    </row>
    <row r="194" spans="1:17" x14ac:dyDescent="0.35">
      <c r="A194" s="124">
        <f>'график с повышеной%'!A83</f>
        <v>49</v>
      </c>
      <c r="B194" s="130">
        <f ca="1">'график с повышеной%'!C83</f>
        <v>45717</v>
      </c>
      <c r="C194" s="131">
        <f ca="1">'график с повышеной%'!D83</f>
        <v>28</v>
      </c>
      <c r="D194" s="132">
        <f ca="1">'график с повышеной%'!E83</f>
        <v>301110.30191209423</v>
      </c>
      <c r="E194" s="45">
        <f ca="1">'график с повышеной%'!H83</f>
        <v>31441.179914048094</v>
      </c>
      <c r="F194" s="45">
        <f ca="1">'график с повышеной%'!F83</f>
        <v>23962.545089816733</v>
      </c>
      <c r="G194" s="45">
        <f ca="1">'график с повышеной%'!G83</f>
        <v>7478.6348242313597</v>
      </c>
      <c r="H194" s="45"/>
      <c r="I194" s="200" t="str">
        <f>'график с повышеной%'!M83</f>
        <v/>
      </c>
      <c r="J194" s="197" t="str">
        <f>'график с повышеной%'!N83</f>
        <v/>
      </c>
      <c r="K194" s="197">
        <f>'график с повышеной%'!O83</f>
        <v>2181</v>
      </c>
      <c r="L194" s="197" t="str">
        <f>'график с повышеной%'!I83</f>
        <v/>
      </c>
      <c r="M194" s="197" t="str">
        <f>'график с повышеной%'!J83</f>
        <v/>
      </c>
      <c r="N194" s="197" t="str">
        <f>'график с повышеной%'!K83</f>
        <v/>
      </c>
      <c r="O194" s="197" t="str">
        <f>'график с повышеной%'!L83</f>
        <v/>
      </c>
      <c r="P194" s="50" t="str">
        <f>'график с повышеной%'!Q83</f>
        <v/>
      </c>
      <c r="Q194" s="117" t="str">
        <f>'график с повышеной%'!R83</f>
        <v/>
      </c>
    </row>
    <row r="195" spans="1:17" x14ac:dyDescent="0.35">
      <c r="A195" s="124">
        <f>'график с повышеной%'!A84</f>
        <v>50</v>
      </c>
      <c r="B195" s="130">
        <f ca="1">'график с повышеной%'!C84</f>
        <v>45748</v>
      </c>
      <c r="C195" s="131">
        <f ca="1">'график с повышеной%'!D84</f>
        <v>31</v>
      </c>
      <c r="D195" s="132">
        <f ca="1">'график с повышеной%'!E84</f>
        <v>277338.69012365316</v>
      </c>
      <c r="E195" s="45">
        <f ca="1">'график с повышеной%'!H84</f>
        <v>31441.179914048091</v>
      </c>
      <c r="F195" s="45">
        <f ca="1">'график с повышеной%'!F84</f>
        <v>23771.611788441107</v>
      </c>
      <c r="G195" s="45">
        <f ca="1">'график с повышеной%'!G84</f>
        <v>7669.5681256069838</v>
      </c>
      <c r="H195" s="45"/>
      <c r="I195" s="133" t="str">
        <f>'график с повышеной%'!M84</f>
        <v/>
      </c>
      <c r="J195" s="127" t="str">
        <f>'график с повышеной%'!N84</f>
        <v/>
      </c>
      <c r="K195" s="127" t="str">
        <f>'график с повышеной%'!O84</f>
        <v/>
      </c>
      <c r="L195" s="127" t="str">
        <f>'график с повышеной%'!I84</f>
        <v/>
      </c>
      <c r="M195" s="127" t="str">
        <f>'график с повышеной%'!J84</f>
        <v/>
      </c>
      <c r="N195" s="127" t="str">
        <f>'график с повышеной%'!K84</f>
        <v/>
      </c>
      <c r="O195" s="127" t="str">
        <f>'график с повышеной%'!L84</f>
        <v/>
      </c>
      <c r="P195" s="50" t="str">
        <f>'график с повышеной%'!Q84</f>
        <v/>
      </c>
      <c r="Q195" s="117" t="str">
        <f>'график с повышеной%'!R84</f>
        <v/>
      </c>
    </row>
    <row r="196" spans="1:17" x14ac:dyDescent="0.35">
      <c r="A196" s="124">
        <f>'график с повышеной%'!A85</f>
        <v>51</v>
      </c>
      <c r="B196" s="130">
        <f ca="1">'график с повышеной%'!C85</f>
        <v>45778</v>
      </c>
      <c r="C196" s="131">
        <f ca="1">'график с повышеной%'!D85</f>
        <v>30</v>
      </c>
      <c r="D196" s="132">
        <f ca="1">'график с повышеной%'!E85</f>
        <v>252733.71896314618</v>
      </c>
      <c r="E196" s="45">
        <f ca="1">'график с повышеной%'!H85</f>
        <v>31441.179914048094</v>
      </c>
      <c r="F196" s="45">
        <f ca="1">'график с повышеной%'!F85</f>
        <v>24604.971160506975</v>
      </c>
      <c r="G196" s="45">
        <f ca="1">'график с повышеной%'!G85</f>
        <v>6836.2087535411174</v>
      </c>
      <c r="H196" s="45"/>
      <c r="I196" s="133" t="str">
        <f>'график с повышеной%'!M85</f>
        <v/>
      </c>
      <c r="J196" s="127" t="str">
        <f>'график с повышеной%'!N85</f>
        <v/>
      </c>
      <c r="K196" s="127" t="str">
        <f>'график с повышеной%'!O85</f>
        <v/>
      </c>
      <c r="L196" s="127" t="str">
        <f>'график с повышеной%'!I85</f>
        <v/>
      </c>
      <c r="M196" s="127" t="str">
        <f>'график с повышеной%'!J85</f>
        <v/>
      </c>
      <c r="N196" s="127" t="str">
        <f>'график с повышеной%'!K85</f>
        <v/>
      </c>
      <c r="O196" s="127" t="str">
        <f>'график с повышеной%'!L85</f>
        <v/>
      </c>
      <c r="P196" s="50" t="str">
        <f>'график с повышеной%'!Q85</f>
        <v/>
      </c>
      <c r="Q196" s="117" t="str">
        <f>'график с повышеной%'!R85</f>
        <v/>
      </c>
    </row>
    <row r="197" spans="1:17" x14ac:dyDescent="0.35">
      <c r="A197" s="124">
        <f>'график с повышеной%'!A86</f>
        <v>52</v>
      </c>
      <c r="B197" s="130">
        <f ca="1">'график с повышеной%'!C86</f>
        <v>45809</v>
      </c>
      <c r="C197" s="131">
        <f ca="1">'график с повышеной%'!D86</f>
        <v>31</v>
      </c>
      <c r="D197" s="132">
        <f ca="1">'график с повышеной%'!E86</f>
        <v>227729.90921849117</v>
      </c>
      <c r="E197" s="45">
        <f ca="1">'график с повышеной%'!H86</f>
        <v>31441.179914048091</v>
      </c>
      <c r="F197" s="45">
        <f ca="1">'график с повышеной%'!F86</f>
        <v>25003.809744655013</v>
      </c>
      <c r="G197" s="45">
        <f ca="1">'график с повышеной%'!G86</f>
        <v>6437.3701693930789</v>
      </c>
      <c r="H197" s="45"/>
      <c r="I197" s="133" t="str">
        <f>'график с повышеной%'!M86</f>
        <v/>
      </c>
      <c r="J197" s="127" t="str">
        <f>'график с повышеной%'!N86</f>
        <v/>
      </c>
      <c r="K197" s="127" t="str">
        <f>'график с повышеной%'!O86</f>
        <v/>
      </c>
      <c r="L197" s="127" t="str">
        <f>'график с повышеной%'!I86</f>
        <v/>
      </c>
      <c r="M197" s="127" t="str">
        <f>'график с повышеной%'!J86</f>
        <v/>
      </c>
      <c r="N197" s="127" t="str">
        <f>'график с повышеной%'!K86</f>
        <v/>
      </c>
      <c r="O197" s="127" t="str">
        <f>'график с повышеной%'!L86</f>
        <v/>
      </c>
      <c r="P197" s="50" t="str">
        <f>'график с повышеной%'!Q86</f>
        <v/>
      </c>
      <c r="Q197" s="117" t="str">
        <f>'график с повышеной%'!R86</f>
        <v/>
      </c>
    </row>
    <row r="198" spans="1:17" x14ac:dyDescent="0.35">
      <c r="A198" s="124">
        <f>'график с повышеной%'!A87</f>
        <v>53</v>
      </c>
      <c r="B198" s="130">
        <f ca="1">'график с повышеной%'!C87</f>
        <v>45839</v>
      </c>
      <c r="C198" s="131">
        <f ca="1">'график с повышеной%'!D87</f>
        <v>30</v>
      </c>
      <c r="D198" s="132">
        <f ca="1">'график с повышеной%'!E87</f>
        <v>201902.11558728901</v>
      </c>
      <c r="E198" s="45">
        <f ca="1">'график с повышеной%'!H87</f>
        <v>31441.179914048091</v>
      </c>
      <c r="F198" s="45">
        <f ca="1">'график с повышеной%'!F87</f>
        <v>25827.793631202159</v>
      </c>
      <c r="G198" s="45">
        <f ca="1">'график с повышеной%'!G87</f>
        <v>5613.3862828459314</v>
      </c>
      <c r="H198" s="45"/>
      <c r="I198" s="133" t="str">
        <f>'график с повышеной%'!M87</f>
        <v/>
      </c>
      <c r="J198" s="127" t="str">
        <f>'график с повышеной%'!N87</f>
        <v/>
      </c>
      <c r="K198" s="127" t="str">
        <f>'график с повышеной%'!O87</f>
        <v/>
      </c>
      <c r="L198" s="127" t="str">
        <f>'график с повышеной%'!I87</f>
        <v/>
      </c>
      <c r="M198" s="127" t="str">
        <f>'график с повышеной%'!J87</f>
        <v/>
      </c>
      <c r="N198" s="127" t="str">
        <f>'график с повышеной%'!K87</f>
        <v/>
      </c>
      <c r="O198" s="127" t="str">
        <f>'график с повышеной%'!L87</f>
        <v/>
      </c>
      <c r="P198" s="50" t="str">
        <f>'график с повышеной%'!Q87</f>
        <v/>
      </c>
      <c r="Q198" s="117" t="str">
        <f>'график с повышеной%'!R87</f>
        <v/>
      </c>
    </row>
    <row r="199" spans="1:17" x14ac:dyDescent="0.35">
      <c r="A199" s="124">
        <f>'график с повышеной%'!A88</f>
        <v>54</v>
      </c>
      <c r="B199" s="130">
        <f ca="1">'график с повышеной%'!C88</f>
        <v>45870</v>
      </c>
      <c r="C199" s="131">
        <f ca="1">'график с повышеной%'!D88</f>
        <v>31</v>
      </c>
      <c r="D199" s="132">
        <f ca="1">'график с повышеной%'!E88</f>
        <v>175603.57616201753</v>
      </c>
      <c r="E199" s="45">
        <f ca="1">'график с повышеной%'!H88</f>
        <v>31441.179914048091</v>
      </c>
      <c r="F199" s="45">
        <f ca="1">'график с повышеной%'!F88</f>
        <v>26298.539425271469</v>
      </c>
      <c r="G199" s="45">
        <f ca="1">'график с повышеной%'!G88</f>
        <v>5142.6404887766221</v>
      </c>
      <c r="H199" s="45"/>
      <c r="I199" s="133" t="str">
        <f>'график с повышеной%'!M88</f>
        <v/>
      </c>
      <c r="J199" s="127" t="str">
        <f>'график с повышеной%'!N88</f>
        <v/>
      </c>
      <c r="K199" s="127" t="str">
        <f>'график с повышеной%'!O88</f>
        <v/>
      </c>
      <c r="L199" s="127" t="str">
        <f>'график с повышеной%'!I88</f>
        <v/>
      </c>
      <c r="M199" s="127" t="str">
        <f>'график с повышеной%'!J88</f>
        <v/>
      </c>
      <c r="N199" s="127" t="str">
        <f>'график с повышеной%'!K88</f>
        <v/>
      </c>
      <c r="O199" s="127" t="str">
        <f>'график с повышеной%'!L88</f>
        <v/>
      </c>
      <c r="P199" s="50" t="str">
        <f>'график с повышеной%'!Q88</f>
        <v/>
      </c>
      <c r="Q199" s="117" t="str">
        <f>'график с повышеной%'!R88</f>
        <v/>
      </c>
    </row>
    <row r="200" spans="1:17" x14ac:dyDescent="0.35">
      <c r="A200" s="124">
        <f>'график с повышеной%'!A89</f>
        <v>55</v>
      </c>
      <c r="B200" s="130">
        <f ca="1">'график с повышеной%'!C89</f>
        <v>45901</v>
      </c>
      <c r="C200" s="131">
        <f ca="1">'график с повышеной%'!D89</f>
        <v>31</v>
      </c>
      <c r="D200" s="132">
        <f ca="1">'график с повышеной%'!E89</f>
        <v>148635.18771980685</v>
      </c>
      <c r="E200" s="45">
        <f ca="1">'график с повышеной%'!H89</f>
        <v>31441.179914048091</v>
      </c>
      <c r="F200" s="45">
        <f ca="1">'график с повышеной%'!F89</f>
        <v>26968.388442210664</v>
      </c>
      <c r="G200" s="45">
        <f ca="1">'график с повышеной%'!G89</f>
        <v>4472.7914718374268</v>
      </c>
      <c r="H200" s="45"/>
      <c r="I200" s="133" t="str">
        <f>'график с повышеной%'!M89</f>
        <v/>
      </c>
      <c r="J200" s="127" t="str">
        <f>'график с повышеной%'!N89</f>
        <v/>
      </c>
      <c r="K200" s="127" t="str">
        <f>'график с повышеной%'!O89</f>
        <v/>
      </c>
      <c r="L200" s="127" t="str">
        <f>'график с повышеной%'!I89</f>
        <v/>
      </c>
      <c r="M200" s="127" t="str">
        <f>'график с повышеной%'!J89</f>
        <v/>
      </c>
      <c r="N200" s="127" t="str">
        <f>'график с повышеной%'!K89</f>
        <v/>
      </c>
      <c r="O200" s="127" t="str">
        <f>'график с повышеной%'!L89</f>
        <v/>
      </c>
      <c r="P200" s="50" t="str">
        <f>'график с повышеной%'!Q89</f>
        <v/>
      </c>
      <c r="Q200" s="117" t="str">
        <f>'график с повышеной%'!R89</f>
        <v/>
      </c>
    </row>
    <row r="201" spans="1:17" x14ac:dyDescent="0.35">
      <c r="A201" s="124">
        <f>'график с повышеной%'!A90</f>
        <v>56</v>
      </c>
      <c r="B201" s="130">
        <f ca="1">'график с повышеной%'!C90</f>
        <v>45931</v>
      </c>
      <c r="C201" s="131">
        <f ca="1">'график с повышеной%'!D90</f>
        <v>30</v>
      </c>
      <c r="D201" s="132">
        <f ca="1">'график с повышеной%'!E90</f>
        <v>120857.7633781289</v>
      </c>
      <c r="E201" s="45">
        <f ca="1">'график с повышеной%'!H90</f>
        <v>31441.179914048091</v>
      </c>
      <c r="F201" s="45">
        <f ca="1">'график с повышеной%'!F90</f>
        <v>27777.424341677946</v>
      </c>
      <c r="G201" s="45">
        <f ca="1">'график с повышеной%'!G90</f>
        <v>3663.755572370143</v>
      </c>
      <c r="H201" s="45"/>
      <c r="I201" s="133" t="str">
        <f>'график с повышеной%'!M90</f>
        <v/>
      </c>
      <c r="J201" s="127" t="str">
        <f>'график с повышеной%'!N90</f>
        <v/>
      </c>
      <c r="K201" s="127" t="str">
        <f>'график с повышеной%'!O90</f>
        <v/>
      </c>
      <c r="L201" s="127" t="str">
        <f>'график с повышеной%'!I90</f>
        <v/>
      </c>
      <c r="M201" s="127" t="str">
        <f>'график с повышеной%'!J90</f>
        <v/>
      </c>
      <c r="N201" s="127" t="str">
        <f>'график с повышеной%'!K90</f>
        <v/>
      </c>
      <c r="O201" s="127" t="str">
        <f>'график с повышеной%'!L90</f>
        <v/>
      </c>
      <c r="P201" s="50" t="str">
        <f>'график с повышеной%'!Q90</f>
        <v/>
      </c>
      <c r="Q201" s="117" t="str">
        <f>'график с повышеной%'!R90</f>
        <v/>
      </c>
    </row>
    <row r="202" spans="1:17" x14ac:dyDescent="0.35">
      <c r="A202" s="124">
        <f>'график с повышеной%'!A91</f>
        <v>57</v>
      </c>
      <c r="B202" s="130">
        <f ca="1">'график с повышеной%'!C91</f>
        <v>45962</v>
      </c>
      <c r="C202" s="131">
        <f ca="1">'график с повышеной%'!D91</f>
        <v>31</v>
      </c>
      <c r="D202" s="132">
        <f ca="1">'график с повышеной%'!E91</f>
        <v>92494.94658832773</v>
      </c>
      <c r="E202" s="45">
        <f ca="1">'график с повышеной%'!H91</f>
        <v>31441.179914048091</v>
      </c>
      <c r="F202" s="45">
        <f ca="1">'график с повышеной%'!F91</f>
        <v>28362.816789801167</v>
      </c>
      <c r="G202" s="45">
        <f ca="1">'график с повышеной%'!G91</f>
        <v>3078.3631242469223</v>
      </c>
      <c r="H202" s="45"/>
      <c r="I202" s="133" t="str">
        <f>'график с повышеной%'!M91</f>
        <v/>
      </c>
      <c r="J202" s="127" t="str">
        <f>'график с повышеной%'!N91</f>
        <v/>
      </c>
      <c r="K202" s="127" t="str">
        <f>'график с повышеной%'!O91</f>
        <v/>
      </c>
      <c r="L202" s="127" t="str">
        <f>'график с повышеной%'!I91</f>
        <v/>
      </c>
      <c r="M202" s="127" t="str">
        <f>'график с повышеной%'!J91</f>
        <v/>
      </c>
      <c r="N202" s="127" t="str">
        <f>'график с повышеной%'!K91</f>
        <v/>
      </c>
      <c r="O202" s="127" t="str">
        <f>'график с повышеной%'!L91</f>
        <v/>
      </c>
      <c r="P202" s="50" t="str">
        <f>'график с повышеной%'!Q91</f>
        <v/>
      </c>
      <c r="Q202" s="117" t="str">
        <f>'график с повышеной%'!R91</f>
        <v/>
      </c>
    </row>
    <row r="203" spans="1:17" x14ac:dyDescent="0.35">
      <c r="A203" s="124">
        <f>'график с повышеной%'!A92</f>
        <v>58</v>
      </c>
      <c r="B203" s="130">
        <f ca="1">'график с повышеной%'!C92</f>
        <v>45992</v>
      </c>
      <c r="C203" s="131">
        <f ca="1">'график с повышеной%'!D92</f>
        <v>30</v>
      </c>
      <c r="D203" s="132">
        <f ca="1">'график с повышеной%'!E92</f>
        <v>63333.703754978778</v>
      </c>
      <c r="E203" s="45">
        <f ca="1">'график с повышеной%'!H92</f>
        <v>31441.179914048091</v>
      </c>
      <c r="F203" s="45">
        <f ca="1">'график с повышеной%'!F92</f>
        <v>29161.242833348955</v>
      </c>
      <c r="G203" s="45">
        <f ca="1">'график с повышеной%'!G92</f>
        <v>2279.937080699136</v>
      </c>
      <c r="H203" s="45"/>
      <c r="I203" s="133" t="str">
        <f>'график с повышеной%'!M92</f>
        <v/>
      </c>
      <c r="J203" s="127" t="str">
        <f>'график с повышеной%'!N92</f>
        <v/>
      </c>
      <c r="K203" s="127" t="str">
        <f>'график с повышеной%'!O92</f>
        <v/>
      </c>
      <c r="L203" s="127" t="str">
        <f>'график с повышеной%'!I92</f>
        <v/>
      </c>
      <c r="M203" s="127" t="str">
        <f>'график с повышеной%'!J92</f>
        <v/>
      </c>
      <c r="N203" s="127" t="str">
        <f>'график с повышеной%'!K92</f>
        <v/>
      </c>
      <c r="O203" s="127" t="str">
        <f>'график с повышеной%'!L92</f>
        <v/>
      </c>
      <c r="P203" s="50" t="str">
        <f>'график с повышеной%'!Q92</f>
        <v/>
      </c>
      <c r="Q203" s="117" t="str">
        <f>'график с повышеной%'!R92</f>
        <v/>
      </c>
    </row>
    <row r="204" spans="1:17" x14ac:dyDescent="0.35">
      <c r="A204" s="124">
        <f>'график с повышеной%'!A93</f>
        <v>59</v>
      </c>
      <c r="B204" s="130">
        <f ca="1">'график с повышеной%'!C93</f>
        <v>46023</v>
      </c>
      <c r="C204" s="131">
        <f ca="1">'график с повышеной%'!D93</f>
        <v>31</v>
      </c>
      <c r="D204" s="132">
        <f ca="1">'график с повышеной%'!E93</f>
        <v>33505.694006518803</v>
      </c>
      <c r="E204" s="45">
        <f ca="1">'график с повышеной%'!H93</f>
        <v>31441.179914048091</v>
      </c>
      <c r="F204" s="45">
        <f ca="1">'график с повышеной%'!F93</f>
        <v>29828.009748459976</v>
      </c>
      <c r="G204" s="45">
        <f ca="1">'график с повышеной%'!G93</f>
        <v>1613.1701655881157</v>
      </c>
      <c r="H204" s="45"/>
      <c r="I204" s="133" t="str">
        <f>'график с повышеной%'!M93</f>
        <v/>
      </c>
      <c r="J204" s="127" t="str">
        <f>'график с повышеной%'!N93</f>
        <v/>
      </c>
      <c r="K204" s="127" t="str">
        <f>'график с повышеной%'!O93</f>
        <v/>
      </c>
      <c r="L204" s="127" t="str">
        <f>'график с повышеной%'!I93</f>
        <v/>
      </c>
      <c r="M204" s="127" t="str">
        <f>'график с повышеной%'!J93</f>
        <v/>
      </c>
      <c r="N204" s="127" t="str">
        <f>'график с повышеной%'!K93</f>
        <v/>
      </c>
      <c r="O204" s="127" t="str">
        <f>'график с повышеной%'!L93</f>
        <v/>
      </c>
      <c r="P204" s="50" t="str">
        <f>'график с повышеной%'!Q93</f>
        <v/>
      </c>
      <c r="Q204" s="117" t="str">
        <f>'график с повышеной%'!R93</f>
        <v/>
      </c>
    </row>
    <row r="205" spans="1:17" x14ac:dyDescent="0.35">
      <c r="A205" s="124">
        <f>'график с повышеной%'!A94</f>
        <v>60</v>
      </c>
      <c r="B205" s="130">
        <f ca="1">'график с повышеной%'!C94</f>
        <v>46053</v>
      </c>
      <c r="C205" s="131">
        <f ca="1">'график с повышеной%'!D94</f>
        <v>30</v>
      </c>
      <c r="D205" s="132">
        <f ca="1">'график с повышеной%'!E94</f>
        <v>3.4197000786662102E-10</v>
      </c>
      <c r="E205" s="45">
        <f ca="1">'график с повышеной%'!H94</f>
        <v>34331.586414673664</v>
      </c>
      <c r="F205" s="45">
        <f ca="1">'график с повышеной%'!F94</f>
        <v>33505.694006518461</v>
      </c>
      <c r="G205" s="45">
        <f ca="1">'график с повышеной%'!G94</f>
        <v>825.89240815520452</v>
      </c>
      <c r="H205" s="45"/>
      <c r="I205" s="133" t="str">
        <f>'график с повышеной%'!M94</f>
        <v/>
      </c>
      <c r="J205" s="127" t="str">
        <f>'график с повышеной%'!N94</f>
        <v/>
      </c>
      <c r="K205" s="127" t="str">
        <f>'график с повышеной%'!O94</f>
        <v/>
      </c>
      <c r="L205" s="127" t="str">
        <f>'график с повышеной%'!I94</f>
        <v/>
      </c>
      <c r="M205" s="127" t="str">
        <f>'график с повышеной%'!J94</f>
        <v/>
      </c>
      <c r="N205" s="127" t="str">
        <f>'график с повышеной%'!K94</f>
        <v/>
      </c>
      <c r="O205" s="127" t="str">
        <f>'график с повышеной%'!L94</f>
        <v/>
      </c>
      <c r="P205" s="50" t="str">
        <f>'график с повышеной%'!Q94</f>
        <v/>
      </c>
      <c r="Q205" s="117" t="str">
        <f>'график с повышеной%'!R94</f>
        <v/>
      </c>
    </row>
    <row r="206" spans="1:17" ht="15" thickBot="1" x14ac:dyDescent="0.4">
      <c r="A206" s="43" t="s">
        <v>94</v>
      </c>
      <c r="B206" s="71" t="str">
        <f ca="1">'график с повышеной%'!C95</f>
        <v/>
      </c>
      <c r="C206" s="116" t="str">
        <f>'график с повышеной%'!D95</f>
        <v/>
      </c>
      <c r="D206" s="72" t="str">
        <f>'график с повышеной%'!E95</f>
        <v/>
      </c>
      <c r="E206" s="44">
        <f ca="1">'график с повышеной%'!H95</f>
        <v>1845037.6616013683</v>
      </c>
      <c r="F206" s="44">
        <f ca="1">'график с повышеной%'!F95</f>
        <v>1000000</v>
      </c>
      <c r="G206" s="44">
        <f ca="1">'график с повышеной%'!G95</f>
        <v>845037.66160136706</v>
      </c>
      <c r="H206" s="44"/>
      <c r="I206" s="201">
        <f>'график с повышеной%'!M95</f>
        <v>10000</v>
      </c>
      <c r="J206" s="197">
        <f>'график с повышеной%'!N95</f>
        <v>0</v>
      </c>
      <c r="K206" s="197">
        <f>'график с повышеной%'!O95</f>
        <v>10905</v>
      </c>
      <c r="L206" s="197">
        <f>'график с повышеной%'!I95</f>
        <v>0</v>
      </c>
      <c r="M206" s="197">
        <f>'график с повышеной%'!J95</f>
        <v>0</v>
      </c>
      <c r="N206" s="197">
        <f>'график с повышеной%'!K95</f>
        <v>59900</v>
      </c>
      <c r="O206" s="197">
        <f>'график с повышеной%'!L95</f>
        <v>0</v>
      </c>
      <c r="P206" s="128">
        <f ca="1">'график с повышеной%'!Q95</f>
        <v>0.35025878548622136</v>
      </c>
      <c r="Q206" s="129">
        <f ca="1">'график с повышеной%'!R95</f>
        <v>1925842.6616013669</v>
      </c>
    </row>
    <row r="207" spans="1:17" ht="15" hidden="1" thickBot="1" x14ac:dyDescent="0.4">
      <c r="A207" s="43">
        <f>'график анн'!A212</f>
        <v>0</v>
      </c>
      <c r="B207" s="71" t="str">
        <f ca="1">'график с повышеной%'!C96</f>
        <v/>
      </c>
      <c r="C207" s="116" t="str">
        <f>'график с повышеной%'!D96</f>
        <v/>
      </c>
      <c r="D207" s="72" t="str">
        <f>'график с повышеной%'!E96</f>
        <v/>
      </c>
      <c r="E207" s="44" t="str">
        <f>'график с повышеной%'!H96</f>
        <v/>
      </c>
      <c r="F207" s="45" t="str">
        <f>'график с повышеной%'!F96</f>
        <v/>
      </c>
      <c r="G207" s="45" t="str">
        <f>'график с повышеной%'!G96</f>
        <v/>
      </c>
      <c r="H207" s="44"/>
      <c r="I207" s="47" t="str">
        <f>'график с повышеной%'!M96</f>
        <v/>
      </c>
      <c r="J207" s="47"/>
      <c r="K207" s="47"/>
      <c r="L207" s="47"/>
      <c r="M207" s="47"/>
      <c r="N207" s="47"/>
      <c r="O207" s="47"/>
      <c r="P207" s="50" t="str">
        <f>'график с повышеной%'!Q96</f>
        <v/>
      </c>
      <c r="Q207" s="117" t="str">
        <f>'график с повышеной%'!R96</f>
        <v/>
      </c>
    </row>
    <row r="208" spans="1:17" ht="15" hidden="1" thickBot="1" x14ac:dyDescent="0.4">
      <c r="A208" s="43">
        <f>'график анн'!A213</f>
        <v>0</v>
      </c>
      <c r="B208" s="71" t="str">
        <f ca="1">'график с повышеной%'!C97</f>
        <v/>
      </c>
      <c r="C208" s="116" t="str">
        <f>'график с повышеной%'!D97</f>
        <v/>
      </c>
      <c r="D208" s="72" t="str">
        <f>'график с повышеной%'!E97</f>
        <v/>
      </c>
      <c r="E208" s="44" t="str">
        <f>'график с повышеной%'!H97</f>
        <v/>
      </c>
      <c r="F208" s="45" t="str">
        <f>'график с повышеной%'!F97</f>
        <v/>
      </c>
      <c r="G208" s="45" t="str">
        <f>'график с повышеной%'!G97</f>
        <v/>
      </c>
      <c r="H208" s="44"/>
      <c r="I208" s="47" t="str">
        <f>'график с повышеной%'!M97</f>
        <v/>
      </c>
      <c r="J208" s="47"/>
      <c r="K208" s="47"/>
      <c r="L208" s="47"/>
      <c r="M208" s="47"/>
      <c r="N208" s="47"/>
      <c r="O208" s="47"/>
      <c r="P208" s="50" t="str">
        <f>'график с повышеной%'!Q97</f>
        <v/>
      </c>
      <c r="Q208" s="117" t="str">
        <f>'график с повышеной%'!R97</f>
        <v/>
      </c>
    </row>
    <row r="209" spans="1:17" ht="15" hidden="1" thickBot="1" x14ac:dyDescent="0.4">
      <c r="A209" s="43">
        <f>'график анн'!A214</f>
        <v>0</v>
      </c>
      <c r="B209" s="71" t="str">
        <f ca="1">'график с повышеной%'!C98</f>
        <v/>
      </c>
      <c r="C209" s="116" t="str">
        <f>'график с повышеной%'!D98</f>
        <v/>
      </c>
      <c r="D209" s="72" t="str">
        <f>'график с повышеной%'!E98</f>
        <v/>
      </c>
      <c r="E209" s="44" t="str">
        <f>'график с повышеной%'!H98</f>
        <v/>
      </c>
      <c r="F209" s="45" t="str">
        <f>'график с повышеной%'!F98</f>
        <v/>
      </c>
      <c r="G209" s="45" t="str">
        <f>'график с повышеной%'!G98</f>
        <v/>
      </c>
      <c r="H209" s="44"/>
      <c r="I209" s="47" t="str">
        <f>'график с повышеной%'!M98</f>
        <v/>
      </c>
      <c r="J209" s="47"/>
      <c r="K209" s="47"/>
      <c r="L209" s="47"/>
      <c r="M209" s="47"/>
      <c r="N209" s="47"/>
      <c r="O209" s="47"/>
      <c r="P209" s="50" t="str">
        <f>'график с повышеной%'!Q98</f>
        <v/>
      </c>
      <c r="Q209" s="117" t="str">
        <f>'график с повышеной%'!R98</f>
        <v/>
      </c>
    </row>
    <row r="210" spans="1:17" ht="15" hidden="1" thickBot="1" x14ac:dyDescent="0.4">
      <c r="A210" s="43">
        <f>'график анн'!A215</f>
        <v>0</v>
      </c>
      <c r="B210" s="71" t="str">
        <f ca="1">'график с повышеной%'!C99</f>
        <v/>
      </c>
      <c r="C210" s="116" t="str">
        <f>'график с повышеной%'!D99</f>
        <v/>
      </c>
      <c r="D210" s="72" t="str">
        <f>'график с повышеной%'!E99</f>
        <v/>
      </c>
      <c r="E210" s="44" t="str">
        <f>'график с повышеной%'!H99</f>
        <v/>
      </c>
      <c r="F210" s="45" t="str">
        <f>'график с повышеной%'!F99</f>
        <v/>
      </c>
      <c r="G210" s="45" t="str">
        <f>'график с повышеной%'!G99</f>
        <v/>
      </c>
      <c r="H210" s="44"/>
      <c r="I210" s="47" t="str">
        <f>'график с повышеной%'!M99</f>
        <v/>
      </c>
      <c r="J210" s="47"/>
      <c r="K210" s="47"/>
      <c r="L210" s="47"/>
      <c r="M210" s="47"/>
      <c r="N210" s="47"/>
      <c r="O210" s="47"/>
      <c r="P210" s="50" t="str">
        <f>'график с повышеной%'!Q99</f>
        <v/>
      </c>
      <c r="Q210" s="117" t="str">
        <f>'график с повышеной%'!R99</f>
        <v/>
      </c>
    </row>
    <row r="211" spans="1:17" ht="15" hidden="1" thickBot="1" x14ac:dyDescent="0.4">
      <c r="A211" s="43">
        <f>'график анн'!A216</f>
        <v>0</v>
      </c>
      <c r="B211" s="71" t="str">
        <f ca="1">'график с повышеной%'!C100</f>
        <v/>
      </c>
      <c r="C211" s="116" t="str">
        <f>'график с повышеной%'!D100</f>
        <v/>
      </c>
      <c r="D211" s="72" t="str">
        <f>'график с повышеной%'!E100</f>
        <v/>
      </c>
      <c r="E211" s="44" t="str">
        <f>'график с повышеной%'!H100</f>
        <v/>
      </c>
      <c r="F211" s="45" t="str">
        <f>'график с повышеной%'!F100</f>
        <v/>
      </c>
      <c r="G211" s="45" t="str">
        <f>'график с повышеной%'!G100</f>
        <v/>
      </c>
      <c r="H211" s="44"/>
      <c r="I211" s="47" t="str">
        <f>'график с повышеной%'!M100</f>
        <v/>
      </c>
      <c r="J211" s="47"/>
      <c r="K211" s="47"/>
      <c r="L211" s="47"/>
      <c r="M211" s="47"/>
      <c r="N211" s="47"/>
      <c r="O211" s="47"/>
      <c r="P211" s="50" t="str">
        <f>'график с повышеной%'!Q100</f>
        <v/>
      </c>
      <c r="Q211" s="117" t="str">
        <f>'график с повышеной%'!R100</f>
        <v/>
      </c>
    </row>
    <row r="212" spans="1:17" ht="15" hidden="1" thickBot="1" x14ac:dyDescent="0.4">
      <c r="A212" s="43">
        <f>'график анн'!A217</f>
        <v>0</v>
      </c>
      <c r="B212" s="71" t="str">
        <f ca="1">'график с повышеной%'!C101</f>
        <v/>
      </c>
      <c r="C212" s="116" t="str">
        <f>'график с повышеной%'!D101</f>
        <v/>
      </c>
      <c r="D212" s="72" t="str">
        <f>'график с повышеной%'!E101</f>
        <v/>
      </c>
      <c r="E212" s="44" t="str">
        <f>'график с повышеной%'!H101</f>
        <v/>
      </c>
      <c r="F212" s="45" t="str">
        <f>'график с повышеной%'!F101</f>
        <v/>
      </c>
      <c r="G212" s="45" t="str">
        <f>'график с повышеной%'!G101</f>
        <v/>
      </c>
      <c r="H212" s="44"/>
      <c r="I212" s="47" t="str">
        <f>'график с повышеной%'!M101</f>
        <v/>
      </c>
      <c r="J212" s="47"/>
      <c r="K212" s="47"/>
      <c r="L212" s="47"/>
      <c r="M212" s="47"/>
      <c r="N212" s="47"/>
      <c r="O212" s="47"/>
      <c r="P212" s="50" t="str">
        <f>'график с повышеной%'!Q101</f>
        <v/>
      </c>
      <c r="Q212" s="117" t="str">
        <f>'график с повышеной%'!R101</f>
        <v/>
      </c>
    </row>
    <row r="213" spans="1:17" ht="15" hidden="1" thickBot="1" x14ac:dyDescent="0.4">
      <c r="A213" s="43">
        <f>'график анн'!A218</f>
        <v>0</v>
      </c>
      <c r="B213" s="71" t="str">
        <f ca="1">'график с повышеной%'!C102</f>
        <v/>
      </c>
      <c r="C213" s="116" t="str">
        <f>'график с повышеной%'!D102</f>
        <v/>
      </c>
      <c r="D213" s="72" t="str">
        <f>'график с повышеной%'!E102</f>
        <v/>
      </c>
      <c r="E213" s="44" t="str">
        <f>'график с повышеной%'!H102</f>
        <v/>
      </c>
      <c r="F213" s="45" t="str">
        <f>'график с повышеной%'!F102</f>
        <v/>
      </c>
      <c r="G213" s="45" t="str">
        <f>'график с повышеной%'!G102</f>
        <v/>
      </c>
      <c r="H213" s="44"/>
      <c r="I213" s="47" t="str">
        <f>'график с повышеной%'!M102</f>
        <v/>
      </c>
      <c r="J213" s="47"/>
      <c r="K213" s="47"/>
      <c r="L213" s="47"/>
      <c r="M213" s="47"/>
      <c r="N213" s="47"/>
      <c r="O213" s="47"/>
      <c r="P213" s="50" t="str">
        <f>'график с повышеной%'!Q102</f>
        <v/>
      </c>
      <c r="Q213" s="117" t="str">
        <f>'график с повышеной%'!R102</f>
        <v/>
      </c>
    </row>
    <row r="214" spans="1:17" ht="15" hidden="1" thickBot="1" x14ac:dyDescent="0.4">
      <c r="A214" s="43">
        <f>'график анн'!A219</f>
        <v>0</v>
      </c>
      <c r="B214" s="71" t="str">
        <f ca="1">'график с повышеной%'!C103</f>
        <v/>
      </c>
      <c r="C214" s="116" t="str">
        <f>'график с повышеной%'!D103</f>
        <v/>
      </c>
      <c r="D214" s="72" t="str">
        <f>'график с повышеной%'!E103</f>
        <v/>
      </c>
      <c r="E214" s="44" t="str">
        <f>'график с повышеной%'!H103</f>
        <v/>
      </c>
      <c r="F214" s="45" t="str">
        <f>'график с повышеной%'!F103</f>
        <v/>
      </c>
      <c r="G214" s="45" t="str">
        <f>'график с повышеной%'!G103</f>
        <v/>
      </c>
      <c r="H214" s="44"/>
      <c r="I214" s="47" t="str">
        <f>'график с повышеной%'!M103</f>
        <v/>
      </c>
      <c r="J214" s="47"/>
      <c r="K214" s="47"/>
      <c r="L214" s="47"/>
      <c r="M214" s="47"/>
      <c r="N214" s="47"/>
      <c r="O214" s="47"/>
      <c r="P214" s="50" t="str">
        <f>'график с повышеной%'!Q103</f>
        <v/>
      </c>
      <c r="Q214" s="117" t="str">
        <f>'график с повышеной%'!R103</f>
        <v/>
      </c>
    </row>
    <row r="215" spans="1:17" ht="15" hidden="1" thickBot="1" x14ac:dyDescent="0.4">
      <c r="A215" s="43">
        <f>'график анн'!A220</f>
        <v>0</v>
      </c>
      <c r="B215" s="71" t="str">
        <f ca="1">'график с повышеной%'!C104</f>
        <v/>
      </c>
      <c r="C215" s="116" t="str">
        <f>'график с повышеной%'!D104</f>
        <v/>
      </c>
      <c r="D215" s="72" t="str">
        <f>'график с повышеной%'!E104</f>
        <v/>
      </c>
      <c r="E215" s="44" t="str">
        <f>'график с повышеной%'!H104</f>
        <v/>
      </c>
      <c r="F215" s="45" t="str">
        <f>'график с повышеной%'!F104</f>
        <v/>
      </c>
      <c r="G215" s="45" t="str">
        <f>'график с повышеной%'!G104</f>
        <v/>
      </c>
      <c r="H215" s="44"/>
      <c r="I215" s="47" t="str">
        <f>'график с повышеной%'!M104</f>
        <v/>
      </c>
      <c r="J215" s="47"/>
      <c r="K215" s="47"/>
      <c r="L215" s="47"/>
      <c r="M215" s="47"/>
      <c r="N215" s="47"/>
      <c r="O215" s="47"/>
      <c r="P215" s="50" t="str">
        <f>'график с повышеной%'!Q104</f>
        <v/>
      </c>
      <c r="Q215" s="117" t="str">
        <f>'график с повышеной%'!R104</f>
        <v/>
      </c>
    </row>
    <row r="216" spans="1:17" ht="15" hidden="1" thickBot="1" x14ac:dyDescent="0.4">
      <c r="A216" s="43">
        <f>'график анн'!A221</f>
        <v>0</v>
      </c>
      <c r="B216" s="71" t="str">
        <f ca="1">'график с повышеной%'!C105</f>
        <v/>
      </c>
      <c r="C216" s="116" t="str">
        <f>'график с повышеной%'!D105</f>
        <v/>
      </c>
      <c r="D216" s="72" t="str">
        <f>'график с повышеной%'!E105</f>
        <v/>
      </c>
      <c r="E216" s="44" t="str">
        <f>'график с повышеной%'!H105</f>
        <v/>
      </c>
      <c r="F216" s="45" t="str">
        <f>'график с повышеной%'!F105</f>
        <v/>
      </c>
      <c r="G216" s="45" t="str">
        <f>'график с повышеной%'!G105</f>
        <v/>
      </c>
      <c r="H216" s="44"/>
      <c r="I216" s="47" t="str">
        <f>'график с повышеной%'!M105</f>
        <v/>
      </c>
      <c r="J216" s="47"/>
      <c r="K216" s="47"/>
      <c r="L216" s="47"/>
      <c r="M216" s="47"/>
      <c r="N216" s="47"/>
      <c r="O216" s="47"/>
      <c r="P216" s="50" t="str">
        <f>'график с повышеной%'!Q105</f>
        <v/>
      </c>
      <c r="Q216" s="117" t="str">
        <f>'график с повышеной%'!R105</f>
        <v/>
      </c>
    </row>
    <row r="217" spans="1:17" ht="15" hidden="1" thickBot="1" x14ac:dyDescent="0.4">
      <c r="A217" s="43">
        <f>'график анн'!A222</f>
        <v>0</v>
      </c>
      <c r="B217" s="71" t="str">
        <f ca="1">'график с повышеной%'!C106</f>
        <v/>
      </c>
      <c r="C217" s="116" t="str">
        <f>'график с повышеной%'!D106</f>
        <v/>
      </c>
      <c r="D217" s="72" t="str">
        <f>'график с повышеной%'!E106</f>
        <v/>
      </c>
      <c r="E217" s="44" t="str">
        <f>'график с повышеной%'!H106</f>
        <v/>
      </c>
      <c r="F217" s="45" t="str">
        <f>'график с повышеной%'!F106</f>
        <v/>
      </c>
      <c r="G217" s="45" t="str">
        <f>'график с повышеной%'!G106</f>
        <v/>
      </c>
      <c r="H217" s="44"/>
      <c r="I217" s="47" t="str">
        <f>'график с повышеной%'!M106</f>
        <v/>
      </c>
      <c r="J217" s="47"/>
      <c r="K217" s="47"/>
      <c r="L217" s="47"/>
      <c r="M217" s="47"/>
      <c r="N217" s="47"/>
      <c r="O217" s="47"/>
      <c r="P217" s="50" t="str">
        <f>'график с повышеной%'!Q106</f>
        <v/>
      </c>
      <c r="Q217" s="117" t="str">
        <f>'график с повышеной%'!R106</f>
        <v/>
      </c>
    </row>
    <row r="218" spans="1:17" ht="15" hidden="1" thickBot="1" x14ac:dyDescent="0.4">
      <c r="A218" s="43">
        <f>'график анн'!A223</f>
        <v>0</v>
      </c>
      <c r="B218" s="71" t="str">
        <f ca="1">'график с повышеной%'!C107</f>
        <v/>
      </c>
      <c r="C218" s="116" t="str">
        <f>'график с повышеной%'!D107</f>
        <v/>
      </c>
      <c r="D218" s="72" t="str">
        <f>'график с повышеной%'!E107</f>
        <v/>
      </c>
      <c r="E218" s="44" t="str">
        <f>'график с повышеной%'!H107</f>
        <v/>
      </c>
      <c r="F218" s="45" t="str">
        <f>'график с повышеной%'!F107</f>
        <v/>
      </c>
      <c r="G218" s="45" t="str">
        <f>'график с повышеной%'!G107</f>
        <v/>
      </c>
      <c r="H218" s="44"/>
      <c r="I218" s="47" t="str">
        <f>'график с повышеной%'!M107</f>
        <v/>
      </c>
      <c r="J218" s="47"/>
      <c r="K218" s="47"/>
      <c r="L218" s="47"/>
      <c r="M218" s="47"/>
      <c r="N218" s="47"/>
      <c r="O218" s="47"/>
      <c r="P218" s="50" t="str">
        <f>'график с повышеной%'!Q107</f>
        <v/>
      </c>
      <c r="Q218" s="117" t="str">
        <f>'график с повышеной%'!R107</f>
        <v/>
      </c>
    </row>
    <row r="219" spans="1:17" ht="15" hidden="1" thickBot="1" x14ac:dyDescent="0.4">
      <c r="A219" s="43">
        <f>'график анн'!A224</f>
        <v>0</v>
      </c>
      <c r="B219" s="71" t="str">
        <f ca="1">'график с повышеной%'!C108</f>
        <v/>
      </c>
      <c r="C219" s="116" t="str">
        <f>'график с повышеной%'!D108</f>
        <v/>
      </c>
      <c r="D219" s="72" t="str">
        <f>'график с повышеной%'!E108</f>
        <v/>
      </c>
      <c r="E219" s="44" t="str">
        <f>'график с повышеной%'!H108</f>
        <v/>
      </c>
      <c r="F219" s="45" t="str">
        <f>'график с повышеной%'!F108</f>
        <v/>
      </c>
      <c r="G219" s="45" t="str">
        <f>'график с повышеной%'!G108</f>
        <v/>
      </c>
      <c r="H219" s="44"/>
      <c r="I219" s="47" t="str">
        <f>'график с повышеной%'!M108</f>
        <v/>
      </c>
      <c r="J219" s="47"/>
      <c r="K219" s="47"/>
      <c r="L219" s="47"/>
      <c r="M219" s="47"/>
      <c r="N219" s="47"/>
      <c r="O219" s="47"/>
      <c r="P219" s="50" t="str">
        <f>'график с повышеной%'!Q108</f>
        <v/>
      </c>
      <c r="Q219" s="117" t="str">
        <f>'график с повышеной%'!R108</f>
        <v/>
      </c>
    </row>
    <row r="220" spans="1:17" ht="15" hidden="1" thickBot="1" x14ac:dyDescent="0.4">
      <c r="A220" s="43">
        <f>'график анн'!A225</f>
        <v>0</v>
      </c>
      <c r="B220" s="71" t="str">
        <f ca="1">'график с повышеной%'!C109</f>
        <v/>
      </c>
      <c r="C220" s="116" t="str">
        <f>'график с повышеной%'!D109</f>
        <v/>
      </c>
      <c r="D220" s="72" t="str">
        <f>'график с повышеной%'!E109</f>
        <v/>
      </c>
      <c r="E220" s="44" t="str">
        <f>'график с повышеной%'!H109</f>
        <v/>
      </c>
      <c r="F220" s="45" t="str">
        <f>'график с повышеной%'!F109</f>
        <v/>
      </c>
      <c r="G220" s="45" t="str">
        <f>'график с повышеной%'!G109</f>
        <v/>
      </c>
      <c r="H220" s="44"/>
      <c r="I220" s="47" t="str">
        <f>'график с повышеной%'!M109</f>
        <v/>
      </c>
      <c r="J220" s="47"/>
      <c r="K220" s="47"/>
      <c r="L220" s="47"/>
      <c r="M220" s="47"/>
      <c r="N220" s="47"/>
      <c r="O220" s="47"/>
      <c r="P220" s="50" t="str">
        <f>'график с повышеной%'!Q109</f>
        <v/>
      </c>
      <c r="Q220" s="117" t="str">
        <f>'график с повышеной%'!R109</f>
        <v/>
      </c>
    </row>
    <row r="221" spans="1:17" ht="15" hidden="1" thickBot="1" x14ac:dyDescent="0.4">
      <c r="A221" s="43">
        <f>'график анн'!A226</f>
        <v>0</v>
      </c>
      <c r="B221" s="71" t="str">
        <f ca="1">'график с повышеной%'!C110</f>
        <v/>
      </c>
      <c r="C221" s="116" t="str">
        <f>'график с повышеной%'!D110</f>
        <v/>
      </c>
      <c r="D221" s="72" t="str">
        <f>'график с повышеной%'!E110</f>
        <v/>
      </c>
      <c r="E221" s="44" t="str">
        <f>'график с повышеной%'!H110</f>
        <v/>
      </c>
      <c r="F221" s="45" t="str">
        <f>'график с повышеной%'!F110</f>
        <v/>
      </c>
      <c r="G221" s="45" t="str">
        <f>'график с повышеной%'!G110</f>
        <v/>
      </c>
      <c r="H221" s="44"/>
      <c r="I221" s="47" t="str">
        <f>'график с повышеной%'!M110</f>
        <v/>
      </c>
      <c r="J221" s="47"/>
      <c r="K221" s="47"/>
      <c r="L221" s="47"/>
      <c r="M221" s="47"/>
      <c r="N221" s="47"/>
      <c r="O221" s="47"/>
      <c r="P221" s="50" t="str">
        <f>'график с повышеной%'!Q110</f>
        <v/>
      </c>
      <c r="Q221" s="117" t="str">
        <f>'график с повышеной%'!R110</f>
        <v/>
      </c>
    </row>
    <row r="222" spans="1:17" ht="15" hidden="1" thickBot="1" x14ac:dyDescent="0.4">
      <c r="A222" s="43">
        <f>'график анн'!A227</f>
        <v>0</v>
      </c>
      <c r="B222" s="71" t="str">
        <f ca="1">'график с повышеной%'!C111</f>
        <v/>
      </c>
      <c r="C222" s="116" t="str">
        <f>'график с повышеной%'!D111</f>
        <v/>
      </c>
      <c r="D222" s="72" t="str">
        <f>'график с повышеной%'!E111</f>
        <v/>
      </c>
      <c r="E222" s="44" t="str">
        <f>'график с повышеной%'!H111</f>
        <v/>
      </c>
      <c r="F222" s="45" t="str">
        <f>'график с повышеной%'!F111</f>
        <v/>
      </c>
      <c r="G222" s="45" t="str">
        <f>'график с повышеной%'!G111</f>
        <v/>
      </c>
      <c r="H222" s="44"/>
      <c r="I222" s="47" t="str">
        <f>'график с повышеной%'!M111</f>
        <v/>
      </c>
      <c r="J222" s="47"/>
      <c r="K222" s="47"/>
      <c r="L222" s="47"/>
      <c r="M222" s="47"/>
      <c r="N222" s="47"/>
      <c r="O222" s="47"/>
      <c r="P222" s="50" t="str">
        <f>'график с повышеной%'!Q111</f>
        <v/>
      </c>
      <c r="Q222" s="117" t="str">
        <f>'график с повышеной%'!R111</f>
        <v/>
      </c>
    </row>
    <row r="223" spans="1:17" ht="15" hidden="1" thickBot="1" x14ac:dyDescent="0.4">
      <c r="A223" s="43">
        <f>'график анн'!A228</f>
        <v>0</v>
      </c>
      <c r="B223" s="71" t="str">
        <f ca="1">'график с повышеной%'!C112</f>
        <v/>
      </c>
      <c r="C223" s="116" t="str">
        <f>'график с повышеной%'!D112</f>
        <v/>
      </c>
      <c r="D223" s="72" t="str">
        <f>'график с повышеной%'!E112</f>
        <v/>
      </c>
      <c r="E223" s="44" t="str">
        <f>'график с повышеной%'!H112</f>
        <v/>
      </c>
      <c r="F223" s="45" t="str">
        <f>'график с повышеной%'!F112</f>
        <v/>
      </c>
      <c r="G223" s="45" t="str">
        <f>'график с повышеной%'!G112</f>
        <v/>
      </c>
      <c r="H223" s="44"/>
      <c r="I223" s="47" t="str">
        <f>'график с повышеной%'!M112</f>
        <v/>
      </c>
      <c r="J223" s="47"/>
      <c r="K223" s="47"/>
      <c r="L223" s="47"/>
      <c r="M223" s="47"/>
      <c r="N223" s="47"/>
      <c r="O223" s="47"/>
      <c r="P223" s="50" t="str">
        <f>'график с повышеной%'!Q112</f>
        <v/>
      </c>
      <c r="Q223" s="117" t="str">
        <f>'график с повышеной%'!R112</f>
        <v/>
      </c>
    </row>
    <row r="224" spans="1:17" ht="15" hidden="1" thickBot="1" x14ac:dyDescent="0.4">
      <c r="A224" s="43">
        <f>'график анн'!A229</f>
        <v>0</v>
      </c>
      <c r="B224" s="71" t="str">
        <f ca="1">'график с повышеной%'!C113</f>
        <v/>
      </c>
      <c r="C224" s="116" t="str">
        <f>'график с повышеной%'!D113</f>
        <v/>
      </c>
      <c r="D224" s="72" t="str">
        <f>'график с повышеной%'!E113</f>
        <v/>
      </c>
      <c r="E224" s="44" t="str">
        <f>'график с повышеной%'!H113</f>
        <v/>
      </c>
      <c r="F224" s="45" t="str">
        <f>'график с повышеной%'!F113</f>
        <v/>
      </c>
      <c r="G224" s="45" t="str">
        <f>'график с повышеной%'!G113</f>
        <v/>
      </c>
      <c r="H224" s="44"/>
      <c r="I224" s="47" t="str">
        <f>'график с повышеной%'!M113</f>
        <v/>
      </c>
      <c r="J224" s="47"/>
      <c r="K224" s="47"/>
      <c r="L224" s="47"/>
      <c r="M224" s="47"/>
      <c r="N224" s="47"/>
      <c r="O224" s="47"/>
      <c r="P224" s="50" t="str">
        <f>'график с повышеной%'!Q113</f>
        <v/>
      </c>
      <c r="Q224" s="117" t="str">
        <f>'график с повышеной%'!R113</f>
        <v/>
      </c>
    </row>
    <row r="225" spans="1:17" ht="15" hidden="1" thickBot="1" x14ac:dyDescent="0.4">
      <c r="A225" s="43">
        <f>'график анн'!A230</f>
        <v>0</v>
      </c>
      <c r="B225" s="71" t="str">
        <f ca="1">'график с повышеной%'!C114</f>
        <v/>
      </c>
      <c r="C225" s="116" t="str">
        <f>'график с повышеной%'!D114</f>
        <v/>
      </c>
      <c r="D225" s="72" t="str">
        <f>'график с повышеной%'!E114</f>
        <v/>
      </c>
      <c r="E225" s="44" t="str">
        <f>'график с повышеной%'!H114</f>
        <v/>
      </c>
      <c r="F225" s="45" t="str">
        <f>'график с повышеной%'!F114</f>
        <v/>
      </c>
      <c r="G225" s="45" t="str">
        <f>'график с повышеной%'!G114</f>
        <v/>
      </c>
      <c r="H225" s="44"/>
      <c r="I225" s="47" t="str">
        <f>'график с повышеной%'!M114</f>
        <v/>
      </c>
      <c r="J225" s="47"/>
      <c r="K225" s="47"/>
      <c r="L225" s="47"/>
      <c r="M225" s="47"/>
      <c r="N225" s="47"/>
      <c r="O225" s="47"/>
      <c r="P225" s="50" t="str">
        <f>'график с повышеной%'!Q114</f>
        <v/>
      </c>
      <c r="Q225" s="117" t="str">
        <f>'график с повышеной%'!R114</f>
        <v/>
      </c>
    </row>
    <row r="226" spans="1:17" ht="15" hidden="1" thickBot="1" x14ac:dyDescent="0.4">
      <c r="A226" s="43">
        <f>'график анн'!A231</f>
        <v>0</v>
      </c>
      <c r="B226" s="71" t="str">
        <f ca="1">'график с повышеной%'!C115</f>
        <v/>
      </c>
      <c r="C226" s="116" t="str">
        <f>'график с повышеной%'!D115</f>
        <v/>
      </c>
      <c r="D226" s="72" t="str">
        <f>'график с повышеной%'!E115</f>
        <v/>
      </c>
      <c r="E226" s="44" t="str">
        <f>'график с повышеной%'!H115</f>
        <v/>
      </c>
      <c r="F226" s="45" t="str">
        <f>'график с повышеной%'!F115</f>
        <v/>
      </c>
      <c r="G226" s="45" t="str">
        <f>'график с повышеной%'!G115</f>
        <v/>
      </c>
      <c r="H226" s="44"/>
      <c r="I226" s="47" t="str">
        <f>'график с повышеной%'!M115</f>
        <v/>
      </c>
      <c r="J226" s="47"/>
      <c r="K226" s="47"/>
      <c r="L226" s="47"/>
      <c r="M226" s="47"/>
      <c r="N226" s="47"/>
      <c r="O226" s="47"/>
      <c r="P226" s="50" t="str">
        <f>'график с повышеной%'!Q115</f>
        <v/>
      </c>
      <c r="Q226" s="117" t="str">
        <f>'график с повышеной%'!R115</f>
        <v/>
      </c>
    </row>
    <row r="227" spans="1:17" ht="15" hidden="1" thickBot="1" x14ac:dyDescent="0.4">
      <c r="A227" s="43">
        <f>'график анн'!A232</f>
        <v>0</v>
      </c>
      <c r="B227" s="71" t="str">
        <f ca="1">'график с повышеной%'!C116</f>
        <v/>
      </c>
      <c r="C227" s="116" t="str">
        <f>'график с повышеной%'!D116</f>
        <v/>
      </c>
      <c r="D227" s="72" t="str">
        <f>'график с повышеной%'!E116</f>
        <v/>
      </c>
      <c r="E227" s="44" t="str">
        <f>'график с повышеной%'!H116</f>
        <v/>
      </c>
      <c r="F227" s="45" t="str">
        <f>'график с повышеной%'!F116</f>
        <v/>
      </c>
      <c r="G227" s="45" t="str">
        <f>'график с повышеной%'!G116</f>
        <v/>
      </c>
      <c r="H227" s="44"/>
      <c r="I227" s="47" t="str">
        <f>'график с повышеной%'!M116</f>
        <v/>
      </c>
      <c r="J227" s="47"/>
      <c r="K227" s="47"/>
      <c r="L227" s="47"/>
      <c r="M227" s="47"/>
      <c r="N227" s="47"/>
      <c r="O227" s="47"/>
      <c r="P227" s="50" t="str">
        <f>'график с повышеной%'!Q116</f>
        <v/>
      </c>
      <c r="Q227" s="117" t="str">
        <f>'график с повышеной%'!R116</f>
        <v/>
      </c>
    </row>
    <row r="228" spans="1:17" ht="15" hidden="1" thickBot="1" x14ac:dyDescent="0.4">
      <c r="A228" s="43">
        <f>'график анн'!A233</f>
        <v>0</v>
      </c>
      <c r="B228" s="71" t="str">
        <f ca="1">'график с повышеной%'!C117</f>
        <v/>
      </c>
      <c r="C228" s="116" t="str">
        <f>'график с повышеной%'!D117</f>
        <v/>
      </c>
      <c r="D228" s="72" t="str">
        <f>'график с повышеной%'!E117</f>
        <v/>
      </c>
      <c r="E228" s="44" t="str">
        <f>'график с повышеной%'!H117</f>
        <v/>
      </c>
      <c r="F228" s="45" t="str">
        <f>'график с повышеной%'!F117</f>
        <v/>
      </c>
      <c r="G228" s="45" t="str">
        <f>'график с повышеной%'!G117</f>
        <v/>
      </c>
      <c r="H228" s="44"/>
      <c r="I228" s="47" t="str">
        <f>'график с повышеной%'!M117</f>
        <v/>
      </c>
      <c r="J228" s="47"/>
      <c r="K228" s="47"/>
      <c r="L228" s="47"/>
      <c r="M228" s="47"/>
      <c r="N228" s="47"/>
      <c r="O228" s="47"/>
      <c r="P228" s="50" t="str">
        <f>'график с повышеной%'!Q117</f>
        <v/>
      </c>
      <c r="Q228" s="117" t="str">
        <f>'график с повышеной%'!R117</f>
        <v/>
      </c>
    </row>
    <row r="229" spans="1:17" ht="15" hidden="1" thickBot="1" x14ac:dyDescent="0.4">
      <c r="A229" s="43">
        <f>'график анн'!A234</f>
        <v>0</v>
      </c>
      <c r="B229" s="71" t="str">
        <f ca="1">'график с повышеной%'!C118</f>
        <v/>
      </c>
      <c r="C229" s="116" t="str">
        <f>'график с повышеной%'!D118</f>
        <v/>
      </c>
      <c r="D229" s="72" t="str">
        <f>'график с повышеной%'!E118</f>
        <v/>
      </c>
      <c r="E229" s="44" t="str">
        <f>'график с повышеной%'!H118</f>
        <v/>
      </c>
      <c r="F229" s="45" t="str">
        <f>'график с повышеной%'!F118</f>
        <v/>
      </c>
      <c r="G229" s="45" t="str">
        <f>'график с повышеной%'!G118</f>
        <v/>
      </c>
      <c r="H229" s="44"/>
      <c r="I229" s="47" t="str">
        <f>'график с повышеной%'!M118</f>
        <v/>
      </c>
      <c r="J229" s="47"/>
      <c r="K229" s="47"/>
      <c r="L229" s="47"/>
      <c r="M229" s="47"/>
      <c r="N229" s="47"/>
      <c r="O229" s="47"/>
      <c r="P229" s="50" t="str">
        <f>'график с повышеной%'!Q118</f>
        <v/>
      </c>
      <c r="Q229" s="117" t="str">
        <f>'график с повышеной%'!R118</f>
        <v/>
      </c>
    </row>
    <row r="230" spans="1:17" hidden="1" x14ac:dyDescent="0.35">
      <c r="A230" s="365" t="s">
        <v>94</v>
      </c>
      <c r="B230" s="365"/>
      <c r="C230" s="365"/>
      <c r="D230" s="365"/>
      <c r="E230" s="44" t="str">
        <f>'график с повышеной%'!H119</f>
        <v/>
      </c>
      <c r="F230" s="45" t="str">
        <f>'график с повышеной%'!F119</f>
        <v/>
      </c>
      <c r="G230" s="45" t="str">
        <f>'график с повышеной%'!G119</f>
        <v/>
      </c>
      <c r="H230" s="44"/>
      <c r="I230" s="47" t="str">
        <f>'график с повышеной%'!M119</f>
        <v/>
      </c>
      <c r="J230" s="47"/>
      <c r="K230" s="47"/>
      <c r="L230" s="47"/>
      <c r="M230" s="47"/>
      <c r="N230" s="47"/>
      <c r="O230" s="47"/>
      <c r="P230" s="50" t="str">
        <f>'график с повышеной%'!Q119</f>
        <v/>
      </c>
      <c r="Q230" s="117" t="str">
        <f>'график с повышеной%'!R119</f>
        <v/>
      </c>
    </row>
  </sheetData>
  <mergeCells count="75">
    <mergeCell ref="O126:P127"/>
    <mergeCell ref="Q126:Q127"/>
    <mergeCell ref="J138:J144"/>
    <mergeCell ref="K138:K144"/>
    <mergeCell ref="L137:M137"/>
    <mergeCell ref="L138:L144"/>
    <mergeCell ref="M138:M144"/>
    <mergeCell ref="N138:N144"/>
    <mergeCell ref="O138:O143"/>
    <mergeCell ref="O5:P6"/>
    <mergeCell ref="O121:P122"/>
    <mergeCell ref="O123:P124"/>
    <mergeCell ref="Q123:Q124"/>
    <mergeCell ref="O125:P125"/>
    <mergeCell ref="O22:O23"/>
    <mergeCell ref="O7:P8"/>
    <mergeCell ref="Q7:Q8"/>
    <mergeCell ref="O9:P9"/>
    <mergeCell ref="O10:P11"/>
    <mergeCell ref="Q10:Q11"/>
    <mergeCell ref="A230:D230"/>
    <mergeCell ref="P137:P144"/>
    <mergeCell ref="Q137:Q144"/>
    <mergeCell ref="F138:F144"/>
    <mergeCell ref="G138:G144"/>
    <mergeCell ref="H138:H144"/>
    <mergeCell ref="I138:I143"/>
    <mergeCell ref="A131:F131"/>
    <mergeCell ref="A132:B132"/>
    <mergeCell ref="A137:A144"/>
    <mergeCell ref="B137:B144"/>
    <mergeCell ref="C137:C144"/>
    <mergeCell ref="D137:D144"/>
    <mergeCell ref="E137:E144"/>
    <mergeCell ref="E123:F123"/>
    <mergeCell ref="E124:F124"/>
    <mergeCell ref="E126:F126"/>
    <mergeCell ref="E128:F128"/>
    <mergeCell ref="E129:F129"/>
    <mergeCell ref="E121:F121"/>
    <mergeCell ref="Q121:Q122"/>
    <mergeCell ref="E122:F122"/>
    <mergeCell ref="A2:Q2"/>
    <mergeCell ref="E4:F4"/>
    <mergeCell ref="E5:F5"/>
    <mergeCell ref="E6:F6"/>
    <mergeCell ref="A118:Q118"/>
    <mergeCell ref="Q5:Q6"/>
    <mergeCell ref="E21:E28"/>
    <mergeCell ref="P21:P28"/>
    <mergeCell ref="Q21:Q28"/>
    <mergeCell ref="F22:F28"/>
    <mergeCell ref="G22:G28"/>
    <mergeCell ref="I22:I27"/>
    <mergeCell ref="N22:N23"/>
    <mergeCell ref="A114:D114"/>
    <mergeCell ref="A16:B16"/>
    <mergeCell ref="A21:A28"/>
    <mergeCell ref="B21:B28"/>
    <mergeCell ref="E120:F120"/>
    <mergeCell ref="L21:M21"/>
    <mergeCell ref="L22:L23"/>
    <mergeCell ref="M22:M23"/>
    <mergeCell ref="E7:F7"/>
    <mergeCell ref="E8:F8"/>
    <mergeCell ref="A15:F15"/>
    <mergeCell ref="C21:C28"/>
    <mergeCell ref="D21:D28"/>
    <mergeCell ref="F21:K21"/>
    <mergeCell ref="J22:J23"/>
    <mergeCell ref="K22:K23"/>
    <mergeCell ref="H22:H28"/>
    <mergeCell ref="E10:F10"/>
    <mergeCell ref="E12:F12"/>
    <mergeCell ref="E13:F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7" workbookViewId="0">
      <selection activeCell="B32" sqref="B32"/>
    </sheetView>
  </sheetViews>
  <sheetFormatPr defaultRowHeight="14.5" x14ac:dyDescent="0.35"/>
  <cols>
    <col min="2" max="2" width="60.1796875" customWidth="1"/>
    <col min="3" max="3" width="26.7265625" bestFit="1" customWidth="1"/>
    <col min="4" max="4" width="19.26953125" bestFit="1" customWidth="1"/>
    <col min="6" max="6" width="50.7265625" customWidth="1"/>
    <col min="7" max="7" width="46.54296875" bestFit="1" customWidth="1"/>
  </cols>
  <sheetData>
    <row r="1" spans="1:10" x14ac:dyDescent="0.35">
      <c r="A1" s="218"/>
      <c r="B1" s="219" t="s">
        <v>158</v>
      </c>
      <c r="C1" s="219"/>
      <c r="D1" s="220"/>
      <c r="E1" s="220"/>
      <c r="F1" s="218"/>
      <c r="G1" s="218"/>
      <c r="H1" s="221"/>
      <c r="I1" s="221"/>
      <c r="J1" s="222"/>
    </row>
    <row r="2" spans="1:10" ht="15.75" customHeight="1" x14ac:dyDescent="0.35">
      <c r="A2" s="223">
        <v>1</v>
      </c>
      <c r="B2" s="224" t="s">
        <v>159</v>
      </c>
      <c r="C2" s="225" t="s">
        <v>160</v>
      </c>
      <c r="D2" s="226" t="s">
        <v>161</v>
      </c>
      <c r="E2" s="223" t="s">
        <v>162</v>
      </c>
      <c r="F2" s="224" t="s">
        <v>163</v>
      </c>
      <c r="G2" s="223" t="s">
        <v>164</v>
      </c>
      <c r="H2" s="227" t="s">
        <v>165</v>
      </c>
      <c r="I2" s="228" t="s">
        <v>166</v>
      </c>
      <c r="J2" s="229" t="s">
        <v>167</v>
      </c>
    </row>
    <row r="3" spans="1:10" ht="12.75" customHeight="1" x14ac:dyDescent="0.35">
      <c r="A3" s="223">
        <v>2</v>
      </c>
      <c r="B3" s="224" t="s">
        <v>168</v>
      </c>
      <c r="C3" s="225" t="s">
        <v>169</v>
      </c>
      <c r="D3" s="226" t="s">
        <v>170</v>
      </c>
      <c r="E3" s="223" t="s">
        <v>171</v>
      </c>
      <c r="F3" s="224" t="s">
        <v>172</v>
      </c>
      <c r="G3" s="223" t="s">
        <v>173</v>
      </c>
      <c r="H3" s="227" t="s">
        <v>174</v>
      </c>
      <c r="I3" s="228" t="s">
        <v>175</v>
      </c>
      <c r="J3" s="229" t="s">
        <v>167</v>
      </c>
    </row>
    <row r="4" spans="1:10" ht="33.75" customHeight="1" x14ac:dyDescent="0.35">
      <c r="A4" s="223">
        <v>3</v>
      </c>
      <c r="B4" s="224" t="s">
        <v>176</v>
      </c>
      <c r="C4" s="225" t="s">
        <v>177</v>
      </c>
      <c r="D4" s="226" t="s">
        <v>178</v>
      </c>
      <c r="E4" s="223" t="s">
        <v>179</v>
      </c>
      <c r="F4" s="224" t="s">
        <v>180</v>
      </c>
      <c r="G4" s="223" t="s">
        <v>181</v>
      </c>
      <c r="H4" s="227" t="s">
        <v>182</v>
      </c>
      <c r="I4" s="228" t="s">
        <v>183</v>
      </c>
      <c r="J4" s="229" t="s">
        <v>167</v>
      </c>
    </row>
    <row r="5" spans="1:10" ht="16.5" customHeight="1" x14ac:dyDescent="0.35">
      <c r="A5" s="223">
        <v>4</v>
      </c>
      <c r="B5" s="224" t="s">
        <v>184</v>
      </c>
      <c r="C5" s="225" t="s">
        <v>185</v>
      </c>
      <c r="D5" s="226" t="s">
        <v>186</v>
      </c>
      <c r="E5" s="223" t="s">
        <v>187</v>
      </c>
      <c r="F5" s="224" t="s">
        <v>188</v>
      </c>
      <c r="G5" s="223" t="s">
        <v>189</v>
      </c>
      <c r="H5" s="227" t="s">
        <v>190</v>
      </c>
      <c r="I5" s="228" t="s">
        <v>191</v>
      </c>
      <c r="J5" s="229" t="s">
        <v>167</v>
      </c>
    </row>
    <row r="6" spans="1:10" ht="16.5" customHeight="1" x14ac:dyDescent="0.35">
      <c r="A6" s="223">
        <v>5</v>
      </c>
      <c r="B6" s="224" t="s">
        <v>192</v>
      </c>
      <c r="C6" s="225" t="s">
        <v>193</v>
      </c>
      <c r="D6" s="226" t="s">
        <v>194</v>
      </c>
      <c r="E6" s="223" t="s">
        <v>195</v>
      </c>
      <c r="F6" s="224" t="s">
        <v>196</v>
      </c>
      <c r="G6" s="223" t="s">
        <v>197</v>
      </c>
      <c r="H6" s="227" t="s">
        <v>198</v>
      </c>
      <c r="I6" s="228" t="s">
        <v>199</v>
      </c>
      <c r="J6" s="229" t="s">
        <v>167</v>
      </c>
    </row>
    <row r="7" spans="1:10" ht="41.25" customHeight="1" x14ac:dyDescent="0.35">
      <c r="A7" s="223">
        <v>6</v>
      </c>
      <c r="B7" s="224" t="s">
        <v>200</v>
      </c>
      <c r="C7" s="225" t="s">
        <v>201</v>
      </c>
      <c r="D7" s="226" t="s">
        <v>202</v>
      </c>
      <c r="E7" s="223" t="s">
        <v>203</v>
      </c>
      <c r="F7" s="224" t="s">
        <v>204</v>
      </c>
      <c r="G7" s="223" t="s">
        <v>205</v>
      </c>
      <c r="H7" s="227" t="s">
        <v>206</v>
      </c>
      <c r="I7" s="228" t="s">
        <v>207</v>
      </c>
      <c r="J7" s="229" t="s">
        <v>167</v>
      </c>
    </row>
    <row r="8" spans="1:10" ht="16.5" customHeight="1" x14ac:dyDescent="0.35">
      <c r="A8" s="223">
        <v>7</v>
      </c>
      <c r="B8" s="224" t="s">
        <v>208</v>
      </c>
      <c r="C8" s="225" t="s">
        <v>209</v>
      </c>
      <c r="D8" s="226" t="s">
        <v>210</v>
      </c>
      <c r="E8" s="223" t="s">
        <v>211</v>
      </c>
      <c r="F8" s="224" t="s">
        <v>212</v>
      </c>
      <c r="G8" s="223" t="s">
        <v>213</v>
      </c>
      <c r="H8" s="227" t="s">
        <v>214</v>
      </c>
      <c r="I8" s="228" t="s">
        <v>215</v>
      </c>
      <c r="J8" s="229" t="s">
        <v>167</v>
      </c>
    </row>
    <row r="9" spans="1:10" ht="16.5" customHeight="1" x14ac:dyDescent="0.35">
      <c r="A9" s="223">
        <v>8</v>
      </c>
      <c r="B9" s="224" t="s">
        <v>216</v>
      </c>
      <c r="C9" s="225" t="s">
        <v>217</v>
      </c>
      <c r="D9" s="226" t="s">
        <v>218</v>
      </c>
      <c r="E9" s="223" t="s">
        <v>219</v>
      </c>
      <c r="F9" s="224" t="s">
        <v>220</v>
      </c>
      <c r="G9" s="223" t="s">
        <v>221</v>
      </c>
      <c r="H9" s="227" t="s">
        <v>222</v>
      </c>
      <c r="I9" s="228" t="s">
        <v>223</v>
      </c>
      <c r="J9" s="229" t="s">
        <v>167</v>
      </c>
    </row>
    <row r="10" spans="1:10" ht="16.5" customHeight="1" x14ac:dyDescent="0.35">
      <c r="A10" s="223">
        <v>9</v>
      </c>
      <c r="B10" s="224" t="s">
        <v>224</v>
      </c>
      <c r="C10" s="225" t="s">
        <v>225</v>
      </c>
      <c r="D10" s="226" t="s">
        <v>226</v>
      </c>
      <c r="E10" s="223" t="s">
        <v>227</v>
      </c>
      <c r="F10" s="224" t="s">
        <v>228</v>
      </c>
      <c r="G10" s="223" t="s">
        <v>229</v>
      </c>
      <c r="H10" s="227" t="s">
        <v>230</v>
      </c>
      <c r="I10" s="228" t="s">
        <v>231</v>
      </c>
      <c r="J10" s="229" t="s">
        <v>167</v>
      </c>
    </row>
    <row r="11" spans="1:10" ht="16.5" customHeight="1" x14ac:dyDescent="0.35">
      <c r="A11" s="223">
        <v>10</v>
      </c>
      <c r="B11" s="224" t="s">
        <v>232</v>
      </c>
      <c r="C11" s="225" t="s">
        <v>233</v>
      </c>
      <c r="D11" s="226" t="s">
        <v>234</v>
      </c>
      <c r="E11" s="223" t="s">
        <v>235</v>
      </c>
      <c r="F11" s="224" t="s">
        <v>236</v>
      </c>
      <c r="G11" s="223" t="s">
        <v>237</v>
      </c>
      <c r="H11" s="227" t="s">
        <v>238</v>
      </c>
      <c r="I11" s="228" t="s">
        <v>239</v>
      </c>
      <c r="J11" s="229" t="s">
        <v>167</v>
      </c>
    </row>
    <row r="12" spans="1:10" ht="16.5" customHeight="1" x14ac:dyDescent="0.35">
      <c r="A12" s="223">
        <v>11</v>
      </c>
      <c r="B12" s="224" t="s">
        <v>240</v>
      </c>
      <c r="C12" s="225" t="s">
        <v>241</v>
      </c>
      <c r="D12" s="226" t="s">
        <v>242</v>
      </c>
      <c r="E12" s="223" t="s">
        <v>243</v>
      </c>
      <c r="F12" s="224" t="s">
        <v>244</v>
      </c>
      <c r="G12" s="223" t="s">
        <v>245</v>
      </c>
      <c r="H12" s="227" t="s">
        <v>246</v>
      </c>
      <c r="I12" s="228" t="s">
        <v>247</v>
      </c>
      <c r="J12" s="229" t="s">
        <v>167</v>
      </c>
    </row>
    <row r="13" spans="1:10" ht="16.5" customHeight="1" x14ac:dyDescent="0.35">
      <c r="A13" s="223">
        <v>12</v>
      </c>
      <c r="B13" s="224" t="s">
        <v>248</v>
      </c>
      <c r="C13" s="225" t="s">
        <v>249</v>
      </c>
      <c r="D13" s="226" t="s">
        <v>250</v>
      </c>
      <c r="E13" s="223" t="s">
        <v>251</v>
      </c>
      <c r="F13" s="224" t="s">
        <v>252</v>
      </c>
      <c r="G13" s="223" t="s">
        <v>253</v>
      </c>
      <c r="H13" s="227" t="s">
        <v>254</v>
      </c>
      <c r="I13" s="228" t="s">
        <v>255</v>
      </c>
      <c r="J13" s="229" t="s">
        <v>167</v>
      </c>
    </row>
    <row r="14" spans="1:10" ht="25.5" customHeight="1" x14ac:dyDescent="0.35">
      <c r="A14" s="223">
        <v>13</v>
      </c>
      <c r="B14" s="224" t="s">
        <v>256</v>
      </c>
      <c r="C14" s="225" t="s">
        <v>257</v>
      </c>
      <c r="D14" s="226" t="s">
        <v>258</v>
      </c>
      <c r="E14" s="223" t="s">
        <v>259</v>
      </c>
      <c r="F14" s="224" t="s">
        <v>260</v>
      </c>
      <c r="G14" s="223" t="s">
        <v>261</v>
      </c>
      <c r="H14" s="227" t="s">
        <v>262</v>
      </c>
      <c r="I14" s="228" t="s">
        <v>263</v>
      </c>
      <c r="J14" s="229" t="s">
        <v>167</v>
      </c>
    </row>
    <row r="15" spans="1:10" ht="28.5" customHeight="1" x14ac:dyDescent="0.35">
      <c r="A15" s="223">
        <v>14</v>
      </c>
      <c r="B15" s="224" t="s">
        <v>264</v>
      </c>
      <c r="C15" s="225" t="s">
        <v>265</v>
      </c>
      <c r="D15" s="226" t="s">
        <v>266</v>
      </c>
      <c r="E15" s="223" t="s">
        <v>267</v>
      </c>
      <c r="F15" s="224" t="s">
        <v>268</v>
      </c>
      <c r="G15" s="223" t="s">
        <v>269</v>
      </c>
      <c r="H15" s="227" t="s">
        <v>270</v>
      </c>
      <c r="I15" s="228" t="s">
        <v>271</v>
      </c>
      <c r="J15" s="229" t="s">
        <v>167</v>
      </c>
    </row>
    <row r="16" spans="1:10" ht="16.5" customHeight="1" x14ac:dyDescent="0.35">
      <c r="A16" s="223">
        <v>15</v>
      </c>
      <c r="B16" s="224" t="s">
        <v>272</v>
      </c>
      <c r="C16" s="225" t="s">
        <v>273</v>
      </c>
      <c r="D16" s="226" t="s">
        <v>274</v>
      </c>
      <c r="E16" s="223" t="s">
        <v>275</v>
      </c>
      <c r="F16" s="224" t="s">
        <v>276</v>
      </c>
      <c r="G16" s="223" t="s">
        <v>277</v>
      </c>
      <c r="H16" s="227" t="s">
        <v>278</v>
      </c>
      <c r="I16" s="228" t="s">
        <v>279</v>
      </c>
      <c r="J16" s="229" t="s">
        <v>167</v>
      </c>
    </row>
    <row r="17" spans="1:10" ht="16.5" customHeight="1" x14ac:dyDescent="0.35">
      <c r="A17" s="223">
        <v>16</v>
      </c>
      <c r="B17" s="224" t="s">
        <v>280</v>
      </c>
      <c r="C17" s="225" t="s">
        <v>281</v>
      </c>
      <c r="D17" s="226" t="s">
        <v>282</v>
      </c>
      <c r="E17" s="223" t="s">
        <v>283</v>
      </c>
      <c r="F17" s="224" t="s">
        <v>284</v>
      </c>
      <c r="G17" s="223" t="s">
        <v>285</v>
      </c>
      <c r="H17" s="227" t="s">
        <v>286</v>
      </c>
      <c r="I17" s="228" t="s">
        <v>287</v>
      </c>
      <c r="J17" s="229" t="s">
        <v>167</v>
      </c>
    </row>
    <row r="18" spans="1:10" ht="27" customHeight="1" x14ac:dyDescent="0.35">
      <c r="A18" s="223">
        <v>17</v>
      </c>
      <c r="B18" s="224" t="s">
        <v>288</v>
      </c>
      <c r="C18" s="225" t="s">
        <v>289</v>
      </c>
      <c r="D18" s="226" t="s">
        <v>290</v>
      </c>
      <c r="E18" s="223" t="s">
        <v>291</v>
      </c>
      <c r="F18" s="224" t="s">
        <v>292</v>
      </c>
      <c r="G18" s="223" t="s">
        <v>269</v>
      </c>
      <c r="H18" s="227" t="s">
        <v>293</v>
      </c>
      <c r="I18" s="228" t="s">
        <v>294</v>
      </c>
      <c r="J18" s="229" t="s">
        <v>167</v>
      </c>
    </row>
    <row r="19" spans="1:10" ht="28.5" customHeight="1" x14ac:dyDescent="0.35">
      <c r="A19" s="223">
        <v>18</v>
      </c>
      <c r="B19" s="224" t="s">
        <v>295</v>
      </c>
      <c r="C19" s="225" t="s">
        <v>296</v>
      </c>
      <c r="D19" s="226" t="s">
        <v>297</v>
      </c>
      <c r="E19" s="223" t="s">
        <v>298</v>
      </c>
      <c r="F19" s="224" t="s">
        <v>299</v>
      </c>
      <c r="G19" s="223" t="s">
        <v>300</v>
      </c>
      <c r="H19" s="227" t="s">
        <v>301</v>
      </c>
      <c r="I19" s="228" t="s">
        <v>302</v>
      </c>
      <c r="J19" s="229" t="s">
        <v>167</v>
      </c>
    </row>
    <row r="20" spans="1:10" ht="16.5" customHeight="1" x14ac:dyDescent="0.35">
      <c r="A20" s="223">
        <v>19</v>
      </c>
      <c r="B20" s="224" t="s">
        <v>303</v>
      </c>
      <c r="C20" s="225" t="s">
        <v>304</v>
      </c>
      <c r="D20" s="226" t="s">
        <v>305</v>
      </c>
      <c r="E20" s="223" t="s">
        <v>306</v>
      </c>
      <c r="F20" s="224" t="s">
        <v>307</v>
      </c>
      <c r="G20" s="223" t="s">
        <v>308</v>
      </c>
      <c r="H20" s="227" t="s">
        <v>309</v>
      </c>
      <c r="I20" s="228" t="s">
        <v>310</v>
      </c>
      <c r="J20" s="229" t="s">
        <v>311</v>
      </c>
    </row>
    <row r="21" spans="1:10" ht="20.25" customHeight="1" x14ac:dyDescent="0.35">
      <c r="A21" s="223">
        <v>20</v>
      </c>
      <c r="B21" s="224" t="s">
        <v>312</v>
      </c>
      <c r="C21" s="225" t="s">
        <v>313</v>
      </c>
      <c r="D21" s="226" t="s">
        <v>314</v>
      </c>
      <c r="E21" s="223" t="s">
        <v>315</v>
      </c>
      <c r="F21" s="224" t="s">
        <v>316</v>
      </c>
      <c r="G21" s="223" t="s">
        <v>317</v>
      </c>
      <c r="H21" s="227" t="s">
        <v>318</v>
      </c>
      <c r="I21" s="228" t="s">
        <v>319</v>
      </c>
      <c r="J21" s="229" t="s">
        <v>167</v>
      </c>
    </row>
    <row r="22" spans="1:10" ht="29.25" customHeight="1" x14ac:dyDescent="0.35">
      <c r="A22" s="223">
        <v>21</v>
      </c>
      <c r="B22" s="224" t="s">
        <v>320</v>
      </c>
      <c r="C22" s="225" t="s">
        <v>321</v>
      </c>
      <c r="D22" s="226" t="s">
        <v>322</v>
      </c>
      <c r="E22" s="223" t="s">
        <v>323</v>
      </c>
      <c r="F22" s="224" t="s">
        <v>324</v>
      </c>
      <c r="G22" s="223" t="s">
        <v>325</v>
      </c>
      <c r="H22" s="227" t="s">
        <v>326</v>
      </c>
      <c r="I22" s="228" t="s">
        <v>327</v>
      </c>
      <c r="J22" s="229" t="s">
        <v>167</v>
      </c>
    </row>
    <row r="23" spans="1:10" ht="27" customHeight="1" x14ac:dyDescent="0.35">
      <c r="A23" s="223">
        <v>22</v>
      </c>
      <c r="B23" s="224" t="s">
        <v>328</v>
      </c>
      <c r="C23" s="225" t="s">
        <v>329</v>
      </c>
      <c r="D23" s="226" t="s">
        <v>330</v>
      </c>
      <c r="E23" s="223" t="s">
        <v>331</v>
      </c>
      <c r="F23" s="224" t="s">
        <v>332</v>
      </c>
      <c r="G23" s="223" t="s">
        <v>333</v>
      </c>
      <c r="H23" s="227" t="s">
        <v>334</v>
      </c>
      <c r="I23" s="228" t="s">
        <v>335</v>
      </c>
      <c r="J23" s="229" t="s">
        <v>167</v>
      </c>
    </row>
    <row r="24" spans="1:10" ht="17.25" customHeight="1" x14ac:dyDescent="0.35">
      <c r="A24" s="223">
        <v>23</v>
      </c>
      <c r="B24" s="224" t="s">
        <v>336</v>
      </c>
      <c r="C24" s="225" t="s">
        <v>337</v>
      </c>
      <c r="D24" s="226" t="s">
        <v>338</v>
      </c>
      <c r="E24" s="223" t="s">
        <v>339</v>
      </c>
      <c r="F24" s="224" t="s">
        <v>340</v>
      </c>
      <c r="G24" s="223" t="s">
        <v>341</v>
      </c>
      <c r="H24" s="227" t="s">
        <v>342</v>
      </c>
      <c r="I24" s="228" t="s">
        <v>343</v>
      </c>
      <c r="J24" s="229" t="s">
        <v>167</v>
      </c>
    </row>
    <row r="25" spans="1:10" ht="31.5" customHeight="1" x14ac:dyDescent="0.35">
      <c r="A25" s="223">
        <v>24</v>
      </c>
      <c r="B25" s="224" t="s">
        <v>344</v>
      </c>
      <c r="C25" s="225" t="s">
        <v>345</v>
      </c>
      <c r="D25" s="226" t="s">
        <v>346</v>
      </c>
      <c r="E25" s="223" t="s">
        <v>347</v>
      </c>
      <c r="F25" s="224" t="s">
        <v>348</v>
      </c>
      <c r="G25" s="223" t="s">
        <v>349</v>
      </c>
      <c r="H25" s="227" t="s">
        <v>350</v>
      </c>
      <c r="I25" s="228" t="s">
        <v>351</v>
      </c>
      <c r="J25" s="229" t="s">
        <v>167</v>
      </c>
    </row>
    <row r="26" spans="1:10" ht="26.25" customHeight="1" x14ac:dyDescent="0.35">
      <c r="A26" s="223">
        <v>25</v>
      </c>
      <c r="B26" s="224" t="s">
        <v>352</v>
      </c>
      <c r="C26" s="225" t="s">
        <v>353</v>
      </c>
      <c r="D26" s="226" t="s">
        <v>354</v>
      </c>
      <c r="E26" s="223" t="s">
        <v>355</v>
      </c>
      <c r="F26" s="224" t="s">
        <v>356</v>
      </c>
      <c r="G26" s="223" t="s">
        <v>357</v>
      </c>
      <c r="H26" s="227" t="s">
        <v>358</v>
      </c>
      <c r="I26" s="228" t="s">
        <v>359</v>
      </c>
      <c r="J26" s="229" t="s">
        <v>167</v>
      </c>
    </row>
    <row r="27" spans="1:10" ht="17.25" customHeight="1" x14ac:dyDescent="0.35">
      <c r="A27" s="223">
        <v>26</v>
      </c>
      <c r="B27" s="224" t="s">
        <v>360</v>
      </c>
      <c r="C27" s="225" t="s">
        <v>361</v>
      </c>
      <c r="D27" s="226" t="s">
        <v>362</v>
      </c>
      <c r="E27" s="223" t="s">
        <v>363</v>
      </c>
      <c r="F27" s="224" t="s">
        <v>364</v>
      </c>
      <c r="G27" s="223" t="s">
        <v>365</v>
      </c>
      <c r="H27" s="227" t="s">
        <v>366</v>
      </c>
      <c r="I27" s="228" t="s">
        <v>367</v>
      </c>
      <c r="J27" s="229" t="s">
        <v>167</v>
      </c>
    </row>
    <row r="28" spans="1:10" ht="17.25" customHeight="1" x14ac:dyDescent="0.35">
      <c r="A28" s="223">
        <v>27</v>
      </c>
      <c r="B28" s="224" t="s">
        <v>368</v>
      </c>
      <c r="C28" s="225" t="s">
        <v>369</v>
      </c>
      <c r="D28" s="226" t="s">
        <v>370</v>
      </c>
      <c r="E28" s="223" t="s">
        <v>371</v>
      </c>
      <c r="F28" s="224" t="s">
        <v>372</v>
      </c>
      <c r="G28" s="223" t="s">
        <v>373</v>
      </c>
      <c r="H28" s="227" t="s">
        <v>374</v>
      </c>
      <c r="I28" s="228" t="s">
        <v>375</v>
      </c>
      <c r="J28" s="229" t="s">
        <v>167</v>
      </c>
    </row>
    <row r="29" spans="1:10" ht="17.25" customHeight="1" x14ac:dyDescent="0.35">
      <c r="A29" s="223">
        <v>28</v>
      </c>
      <c r="B29" s="224" t="s">
        <v>376</v>
      </c>
      <c r="C29" s="225" t="s">
        <v>377</v>
      </c>
      <c r="D29" s="226" t="s">
        <v>378</v>
      </c>
      <c r="E29" s="223" t="s">
        <v>379</v>
      </c>
      <c r="F29" s="224" t="s">
        <v>380</v>
      </c>
      <c r="G29" s="223" t="s">
        <v>381</v>
      </c>
      <c r="H29" s="227" t="s">
        <v>382</v>
      </c>
      <c r="I29" s="228" t="s">
        <v>383</v>
      </c>
      <c r="J29" s="229" t="s">
        <v>167</v>
      </c>
    </row>
    <row r="30" spans="1:10" ht="29.25" customHeight="1" x14ac:dyDescent="0.35">
      <c r="A30" s="223">
        <v>29</v>
      </c>
      <c r="B30" s="224" t="s">
        <v>384</v>
      </c>
      <c r="C30" s="225" t="s">
        <v>385</v>
      </c>
      <c r="D30" s="226" t="s">
        <v>386</v>
      </c>
      <c r="E30" s="223" t="s">
        <v>387</v>
      </c>
      <c r="F30" s="224" t="s">
        <v>388</v>
      </c>
      <c r="G30" s="223" t="s">
        <v>389</v>
      </c>
      <c r="H30" s="227" t="s">
        <v>390</v>
      </c>
      <c r="I30" s="228" t="s">
        <v>391</v>
      </c>
      <c r="J30" s="229" t="s">
        <v>167</v>
      </c>
    </row>
    <row r="31" spans="1:10" ht="28.5" customHeight="1" x14ac:dyDescent="0.35">
      <c r="A31" s="223">
        <v>30</v>
      </c>
      <c r="B31" s="224" t="s">
        <v>392</v>
      </c>
      <c r="C31" s="225" t="s">
        <v>393</v>
      </c>
      <c r="D31" s="226" t="s">
        <v>394</v>
      </c>
      <c r="E31" s="223" t="s">
        <v>395</v>
      </c>
      <c r="F31" s="224" t="s">
        <v>396</v>
      </c>
      <c r="G31" s="223" t="s">
        <v>397</v>
      </c>
      <c r="H31" s="227" t="s">
        <v>398</v>
      </c>
      <c r="I31" s="228" t="s">
        <v>399</v>
      </c>
      <c r="J31" s="229" t="s">
        <v>167</v>
      </c>
    </row>
    <row r="32" spans="1:10" ht="35.25" customHeight="1" x14ac:dyDescent="0.35">
      <c r="A32" s="223">
        <v>31</v>
      </c>
      <c r="B32" s="224" t="s">
        <v>400</v>
      </c>
      <c r="C32" s="225" t="s">
        <v>401</v>
      </c>
      <c r="D32" s="226" t="s">
        <v>402</v>
      </c>
      <c r="E32" s="223" t="s">
        <v>403</v>
      </c>
      <c r="F32" s="224" t="s">
        <v>404</v>
      </c>
      <c r="G32" s="223" t="s">
        <v>405</v>
      </c>
      <c r="H32" s="227" t="s">
        <v>406</v>
      </c>
      <c r="I32" s="228" t="s">
        <v>407</v>
      </c>
      <c r="J32" s="229" t="s">
        <v>167</v>
      </c>
    </row>
    <row r="33" spans="1:10" ht="17.25" customHeight="1" x14ac:dyDescent="0.35">
      <c r="A33" s="223">
        <v>32</v>
      </c>
      <c r="B33" s="224" t="s">
        <v>408</v>
      </c>
      <c r="C33" s="225" t="s">
        <v>409</v>
      </c>
      <c r="D33" s="226" t="s">
        <v>410</v>
      </c>
      <c r="E33" s="223" t="s">
        <v>411</v>
      </c>
      <c r="F33" s="224" t="s">
        <v>412</v>
      </c>
      <c r="G33" s="223" t="s">
        <v>413</v>
      </c>
      <c r="H33" s="227" t="s">
        <v>414</v>
      </c>
      <c r="I33" s="228" t="s">
        <v>415</v>
      </c>
      <c r="J33" s="229" t="s">
        <v>167</v>
      </c>
    </row>
    <row r="34" spans="1:10" ht="17.25" customHeight="1" x14ac:dyDescent="0.35">
      <c r="A34" s="223">
        <v>33</v>
      </c>
      <c r="B34" s="224" t="s">
        <v>416</v>
      </c>
      <c r="C34" s="225" t="s">
        <v>417</v>
      </c>
      <c r="D34" s="226" t="s">
        <v>418</v>
      </c>
      <c r="E34" s="223" t="s">
        <v>419</v>
      </c>
      <c r="F34" s="224" t="s">
        <v>420</v>
      </c>
      <c r="G34" s="223" t="s">
        <v>421</v>
      </c>
      <c r="H34" s="227" t="s">
        <v>422</v>
      </c>
      <c r="I34" s="228" t="s">
        <v>423</v>
      </c>
      <c r="J34" s="229" t="s">
        <v>167</v>
      </c>
    </row>
    <row r="35" spans="1:10" ht="17.25" customHeight="1" x14ac:dyDescent="0.35">
      <c r="A35" s="223">
        <v>34</v>
      </c>
      <c r="B35" s="224" t="s">
        <v>424</v>
      </c>
      <c r="C35" s="225" t="s">
        <v>425</v>
      </c>
      <c r="D35" s="226" t="s">
        <v>426</v>
      </c>
      <c r="E35" s="223" t="s">
        <v>427</v>
      </c>
      <c r="F35" s="224" t="s">
        <v>428</v>
      </c>
      <c r="G35" s="223" t="s">
        <v>429</v>
      </c>
      <c r="H35" s="227" t="s">
        <v>430</v>
      </c>
      <c r="I35" s="228" t="s">
        <v>431</v>
      </c>
      <c r="J35" s="229" t="s">
        <v>167</v>
      </c>
    </row>
    <row r="36" spans="1:10" ht="39.75" customHeight="1" x14ac:dyDescent="0.35">
      <c r="A36" s="223">
        <v>35</v>
      </c>
      <c r="B36" s="224" t="s">
        <v>432</v>
      </c>
      <c r="C36" s="225" t="s">
        <v>433</v>
      </c>
      <c r="D36" s="226" t="s">
        <v>434</v>
      </c>
      <c r="E36" s="223" t="s">
        <v>435</v>
      </c>
      <c r="F36" s="224" t="s">
        <v>436</v>
      </c>
      <c r="G36" s="223" t="s">
        <v>437</v>
      </c>
      <c r="H36" s="227" t="s">
        <v>438</v>
      </c>
      <c r="I36" s="228" t="s">
        <v>439</v>
      </c>
      <c r="J36" s="229" t="s">
        <v>167</v>
      </c>
    </row>
    <row r="37" spans="1:10" ht="36.75" customHeight="1" x14ac:dyDescent="0.35">
      <c r="A37" s="223">
        <v>36</v>
      </c>
      <c r="B37" s="224" t="s">
        <v>440</v>
      </c>
      <c r="C37" s="225" t="s">
        <v>441</v>
      </c>
      <c r="D37" s="226" t="s">
        <v>442</v>
      </c>
      <c r="E37" s="223" t="s">
        <v>443</v>
      </c>
      <c r="F37" s="224" t="s">
        <v>444</v>
      </c>
      <c r="G37" s="223" t="s">
        <v>445</v>
      </c>
      <c r="H37" s="227" t="s">
        <v>446</v>
      </c>
      <c r="I37" s="228" t="s">
        <v>447</v>
      </c>
      <c r="J37" s="229" t="s">
        <v>167</v>
      </c>
    </row>
    <row r="38" spans="1:10" ht="36" customHeight="1" x14ac:dyDescent="0.35">
      <c r="A38" s="223">
        <v>37</v>
      </c>
      <c r="B38" s="224" t="s">
        <v>448</v>
      </c>
      <c r="C38" s="225" t="s">
        <v>449</v>
      </c>
      <c r="D38" s="226" t="s">
        <v>450</v>
      </c>
      <c r="E38" s="223" t="s">
        <v>451</v>
      </c>
      <c r="F38" s="224" t="s">
        <v>452</v>
      </c>
      <c r="G38" s="223" t="s">
        <v>453</v>
      </c>
      <c r="H38" s="227" t="s">
        <v>454</v>
      </c>
      <c r="I38" s="228" t="s">
        <v>455</v>
      </c>
      <c r="J38" s="229" t="s">
        <v>167</v>
      </c>
    </row>
    <row r="39" spans="1:10" ht="36.75" customHeight="1" x14ac:dyDescent="0.35">
      <c r="A39" s="223">
        <v>38</v>
      </c>
      <c r="B39" s="224" t="s">
        <v>456</v>
      </c>
      <c r="C39" s="225" t="s">
        <v>457</v>
      </c>
      <c r="D39" s="226" t="s">
        <v>458</v>
      </c>
      <c r="E39" s="223" t="s">
        <v>459</v>
      </c>
      <c r="F39" s="224" t="s">
        <v>460</v>
      </c>
      <c r="G39" s="223" t="s">
        <v>461</v>
      </c>
      <c r="H39" s="227" t="s">
        <v>462</v>
      </c>
      <c r="I39" s="228" t="s">
        <v>463</v>
      </c>
      <c r="J39" s="229" t="s">
        <v>167</v>
      </c>
    </row>
    <row r="40" spans="1:10" ht="39" customHeight="1" x14ac:dyDescent="0.35">
      <c r="A40" s="223">
        <v>39</v>
      </c>
      <c r="B40" s="224" t="s">
        <v>464</v>
      </c>
      <c r="C40" s="225" t="s">
        <v>465</v>
      </c>
      <c r="D40" s="226" t="s">
        <v>466</v>
      </c>
      <c r="E40" s="223" t="s">
        <v>467</v>
      </c>
      <c r="F40" s="224" t="s">
        <v>468</v>
      </c>
      <c r="G40" s="223" t="s">
        <v>469</v>
      </c>
      <c r="H40" s="227" t="s">
        <v>470</v>
      </c>
      <c r="I40" s="228" t="s">
        <v>471</v>
      </c>
      <c r="J40" s="229" t="s">
        <v>167</v>
      </c>
    </row>
    <row r="41" spans="1:10" ht="41.25" customHeight="1" x14ac:dyDescent="0.35">
      <c r="A41" s="223">
        <v>40</v>
      </c>
      <c r="B41" s="224" t="s">
        <v>472</v>
      </c>
      <c r="C41" s="225" t="s">
        <v>473</v>
      </c>
      <c r="D41" s="226" t="s">
        <v>474</v>
      </c>
      <c r="E41" s="223" t="s">
        <v>475</v>
      </c>
      <c r="F41" s="224" t="s">
        <v>476</v>
      </c>
      <c r="G41" s="223" t="s">
        <v>477</v>
      </c>
      <c r="H41" s="227" t="s">
        <v>478</v>
      </c>
      <c r="I41" s="228" t="s">
        <v>479</v>
      </c>
      <c r="J41" s="229" t="s">
        <v>167</v>
      </c>
    </row>
    <row r="42" spans="1:10" ht="17.25" customHeight="1" x14ac:dyDescent="0.35">
      <c r="A42" s="223">
        <v>41</v>
      </c>
      <c r="B42" s="224" t="s">
        <v>480</v>
      </c>
      <c r="C42" s="225" t="s">
        <v>481</v>
      </c>
      <c r="D42" s="226" t="s">
        <v>482</v>
      </c>
      <c r="E42" s="223" t="s">
        <v>483</v>
      </c>
      <c r="F42" s="224" t="s">
        <v>484</v>
      </c>
      <c r="G42" s="223" t="s">
        <v>485</v>
      </c>
      <c r="H42" s="227" t="s">
        <v>486</v>
      </c>
      <c r="I42" s="228" t="s">
        <v>487</v>
      </c>
      <c r="J42" s="229" t="s">
        <v>167</v>
      </c>
    </row>
    <row r="43" spans="1:10" ht="17.25" customHeight="1" x14ac:dyDescent="0.35">
      <c r="A43" s="223">
        <v>42</v>
      </c>
      <c r="B43" s="224" t="s">
        <v>488</v>
      </c>
      <c r="C43" s="225" t="s">
        <v>489</v>
      </c>
      <c r="D43" s="226" t="s">
        <v>490</v>
      </c>
      <c r="E43" s="223" t="s">
        <v>491</v>
      </c>
      <c r="F43" s="224" t="s">
        <v>492</v>
      </c>
      <c r="G43" s="223" t="s">
        <v>493</v>
      </c>
      <c r="H43" s="227" t="s">
        <v>494</v>
      </c>
      <c r="I43" s="228" t="s">
        <v>495</v>
      </c>
      <c r="J43" s="229" t="s">
        <v>167</v>
      </c>
    </row>
    <row r="44" spans="1:10" ht="17.25" customHeight="1" x14ac:dyDescent="0.35">
      <c r="A44" s="223">
        <v>43</v>
      </c>
      <c r="B44" s="224" t="s">
        <v>496</v>
      </c>
      <c r="C44" s="225" t="s">
        <v>497</v>
      </c>
      <c r="D44" s="226" t="s">
        <v>498</v>
      </c>
      <c r="E44" s="223" t="s">
        <v>499</v>
      </c>
      <c r="F44" s="224" t="s">
        <v>500</v>
      </c>
      <c r="G44" s="223" t="s">
        <v>501</v>
      </c>
      <c r="H44" s="227" t="s">
        <v>502</v>
      </c>
      <c r="I44" s="228" t="s">
        <v>503</v>
      </c>
      <c r="J44" s="229" t="s">
        <v>167</v>
      </c>
    </row>
    <row r="45" spans="1:10" ht="17.25" customHeight="1" x14ac:dyDescent="0.35">
      <c r="A45" s="223">
        <v>44</v>
      </c>
      <c r="B45" s="224" t="s">
        <v>504</v>
      </c>
      <c r="C45" s="225" t="s">
        <v>505</v>
      </c>
      <c r="D45" s="226" t="s">
        <v>506</v>
      </c>
      <c r="E45" s="223" t="s">
        <v>507</v>
      </c>
      <c r="F45" s="224" t="s">
        <v>508</v>
      </c>
      <c r="G45" s="223" t="s">
        <v>509</v>
      </c>
      <c r="H45" s="227" t="s">
        <v>510</v>
      </c>
      <c r="I45" s="228" t="s">
        <v>511</v>
      </c>
      <c r="J45" s="229" t="s">
        <v>167</v>
      </c>
    </row>
    <row r="46" spans="1:10" ht="17.25" customHeight="1" x14ac:dyDescent="0.35">
      <c r="A46" s="223">
        <v>45</v>
      </c>
      <c r="B46" s="224" t="s">
        <v>512</v>
      </c>
      <c r="C46" s="225" t="s">
        <v>513</v>
      </c>
      <c r="D46" s="226" t="s">
        <v>514</v>
      </c>
      <c r="E46" s="223" t="s">
        <v>515</v>
      </c>
      <c r="F46" s="224" t="s">
        <v>516</v>
      </c>
      <c r="G46" s="223" t="s">
        <v>517</v>
      </c>
      <c r="H46" s="227" t="s">
        <v>518</v>
      </c>
      <c r="I46" s="228" t="s">
        <v>519</v>
      </c>
      <c r="J46" s="229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паспорт</vt:lpstr>
      <vt:lpstr>график анн</vt:lpstr>
      <vt:lpstr>паспорт повышенная %</vt:lpstr>
      <vt:lpstr>график с повышеной%</vt:lpstr>
      <vt:lpstr>дод 1 до дог кредит</vt:lpstr>
      <vt:lpstr>Лист1</vt:lpstr>
    </vt:vector>
  </TitlesOfParts>
  <Company>PJSC CB "PRAVEX-BANK"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Safonov Sergii Viktorovych</cp:lastModifiedBy>
  <cp:lastPrinted>2019-03-26T11:36:27Z</cp:lastPrinted>
  <dcterms:created xsi:type="dcterms:W3CDTF">2017-10-17T08:00:29Z</dcterms:created>
  <dcterms:modified xsi:type="dcterms:W3CDTF">2021-02-01T10:05:59Z</dcterms:modified>
</cp:coreProperties>
</file>